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420" activeTab="3"/>
  </bookViews>
  <sheets>
    <sheet name="一工区" sheetId="5" r:id="rId1"/>
    <sheet name="二工区" sheetId="6" r:id="rId2"/>
    <sheet name="三工区" sheetId="7" r:id="rId3"/>
    <sheet name="四工区" sheetId="9" r:id="rId4"/>
  </sheets>
  <definedNames>
    <definedName name="_xlnm._FilterDatabase" localSheetId="1" hidden="1">二工区!#REF!</definedName>
    <definedName name="_xlnm._FilterDatabase" localSheetId="2" hidden="1">三工区!$A$2:$H$62</definedName>
    <definedName name="_xlnm._FilterDatabase" localSheetId="0" hidden="1">一工区!$A$2:$H$72</definedName>
    <definedName name="_xlnm.Print_Area" localSheetId="1">二工区!$A$1:$H$96</definedName>
    <definedName name="_xlnm.Print_Area" localSheetId="2">三工区!$A$1:$H$92</definedName>
    <definedName name="_xlnm.Print_Area" localSheetId="0">一工区!$A$1:$H$79</definedName>
    <definedName name="_xlnm.Print_Titles" localSheetId="1">二工区!$1:$2</definedName>
    <definedName name="_xlnm.Print_Titles" localSheetId="2">三工区!$1:$2</definedName>
    <definedName name="_xlnm.Print_Titles" localSheetId="3">四工区!$1:$2</definedName>
    <definedName name="_xlnm.Print_Titles" localSheetId="0">一工区!$1:$2</definedName>
  </definedNames>
  <calcPr calcId="125725"/>
</workbook>
</file>

<file path=xl/calcChain.xml><?xml version="1.0" encoding="utf-8"?>
<calcChain xmlns="http://schemas.openxmlformats.org/spreadsheetml/2006/main">
  <c r="F4" i="9"/>
  <c r="F83" i="7"/>
  <c r="F5" i="9"/>
  <c r="F6"/>
  <c r="F7"/>
  <c r="F8"/>
  <c r="F13"/>
  <c r="F14"/>
  <c r="F15"/>
  <c r="F16"/>
  <c r="F17"/>
  <c r="F23"/>
  <c r="F24"/>
  <c r="F27"/>
  <c r="F28"/>
  <c r="F30"/>
  <c r="F32"/>
  <c r="F34"/>
  <c r="F35"/>
  <c r="F36"/>
  <c r="F39"/>
  <c r="F41"/>
  <c r="F42"/>
  <c r="F43"/>
  <c r="F44"/>
  <c r="F45"/>
  <c r="F46"/>
  <c r="F47"/>
  <c r="F48"/>
  <c r="F49"/>
  <c r="F50"/>
  <c r="F51"/>
  <c r="F52"/>
  <c r="F54"/>
  <c r="F55"/>
  <c r="F56"/>
  <c r="F57"/>
  <c r="F58"/>
  <c r="F59"/>
  <c r="F60"/>
  <c r="F61"/>
  <c r="F62"/>
  <c r="F63"/>
  <c r="F64"/>
  <c r="F65"/>
  <c r="F66"/>
  <c r="F68"/>
  <c r="F69"/>
  <c r="F70"/>
  <c r="F71"/>
  <c r="F72"/>
  <c r="F73"/>
  <c r="F74"/>
  <c r="F75"/>
  <c r="F76"/>
  <c r="F77"/>
  <c r="F78"/>
  <c r="F5" i="6"/>
  <c r="F8"/>
  <c r="F12"/>
  <c r="F13"/>
  <c r="F14"/>
  <c r="F15"/>
  <c r="F17"/>
  <c r="F19"/>
  <c r="F22"/>
  <c r="F23"/>
  <c r="F25"/>
  <c r="F28"/>
  <c r="F29"/>
  <c r="F30"/>
  <c r="F33"/>
  <c r="F35"/>
  <c r="F37"/>
  <c r="F39"/>
  <c r="F40"/>
  <c r="F42"/>
  <c r="F43"/>
  <c r="F44"/>
  <c r="F48"/>
  <c r="F49"/>
  <c r="F52"/>
  <c r="F56"/>
  <c r="F60"/>
  <c r="F64"/>
  <c r="F65"/>
  <c r="F66"/>
  <c r="F67"/>
  <c r="F68"/>
  <c r="F70"/>
  <c r="F71"/>
  <c r="F72"/>
  <c r="F73"/>
  <c r="F74"/>
  <c r="F75"/>
  <c r="F76"/>
  <c r="F78"/>
  <c r="F80"/>
  <c r="F82"/>
  <c r="F84"/>
  <c r="F86"/>
  <c r="F88"/>
  <c r="F4"/>
  <c r="F5" i="5"/>
  <c r="F6"/>
  <c r="F8"/>
  <c r="F13"/>
  <c r="F14"/>
  <c r="F17"/>
  <c r="F20"/>
  <c r="F21"/>
  <c r="F27"/>
  <c r="F28"/>
  <c r="F30"/>
  <c r="F33"/>
  <c r="F34"/>
  <c r="F35"/>
  <c r="F37"/>
  <c r="F40"/>
  <c r="F42"/>
  <c r="F44"/>
  <c r="F45"/>
  <c r="F47"/>
  <c r="F48"/>
  <c r="F52"/>
  <c r="F53"/>
  <c r="F54"/>
  <c r="F55"/>
  <c r="F56"/>
  <c r="F61"/>
  <c r="F70"/>
  <c r="F4"/>
  <c r="D22" i="9"/>
  <c r="F22" s="1"/>
  <c r="D21"/>
  <c r="F21" s="1"/>
  <c r="D20"/>
  <c r="F20" s="1"/>
  <c r="D19"/>
  <c r="F19" s="1"/>
  <c r="D11"/>
  <c r="F11" s="1"/>
  <c r="F84" i="7"/>
  <c r="D82"/>
  <c r="F82" s="1"/>
  <c r="F81"/>
  <c r="F80"/>
  <c r="F79"/>
  <c r="F78"/>
  <c r="F77"/>
  <c r="F76"/>
  <c r="F75"/>
  <c r="F74"/>
  <c r="F72"/>
  <c r="F71"/>
  <c r="F70"/>
  <c r="F69"/>
  <c r="F68"/>
  <c r="F67"/>
  <c r="F66"/>
  <c r="F65"/>
  <c r="F64"/>
  <c r="F63"/>
  <c r="F62"/>
  <c r="F61"/>
  <c r="F60"/>
  <c r="F58"/>
  <c r="F57"/>
  <c r="F56"/>
  <c r="F55"/>
  <c r="F54"/>
  <c r="F53"/>
  <c r="F52"/>
  <c r="F51"/>
  <c r="F50"/>
  <c r="F49"/>
  <c r="F48"/>
  <c r="F47"/>
  <c r="F45"/>
  <c r="F42"/>
  <c r="F41"/>
  <c r="F40"/>
  <c r="F38"/>
  <c r="F37"/>
  <c r="F35"/>
  <c r="F33"/>
  <c r="F31"/>
  <c r="F29"/>
  <c r="F28"/>
  <c r="D25"/>
  <c r="F25" s="1"/>
  <c r="D24"/>
  <c r="F24" s="1"/>
  <c r="D23"/>
  <c r="F23" s="1"/>
  <c r="F22"/>
  <c r="D21"/>
  <c r="F21" s="1"/>
  <c r="D20"/>
  <c r="F20" s="1"/>
  <c r="F17"/>
  <c r="F16"/>
  <c r="F15"/>
  <c r="F14"/>
  <c r="F13"/>
  <c r="D11"/>
  <c r="F11" s="1"/>
  <c r="F8"/>
  <c r="F7"/>
  <c r="D7"/>
  <c r="F5"/>
  <c r="F4"/>
  <c r="D88" i="6"/>
  <c r="D87"/>
  <c r="F87" s="1"/>
  <c r="D86"/>
  <c r="D85"/>
  <c r="F85" s="1"/>
  <c r="D84"/>
  <c r="D83"/>
  <c r="F83" s="1"/>
  <c r="D82"/>
  <c r="D81"/>
  <c r="F81" s="1"/>
  <c r="D80"/>
  <c r="D79"/>
  <c r="F79" s="1"/>
  <c r="D78"/>
  <c r="D69"/>
  <c r="F69" s="1"/>
  <c r="D62"/>
  <c r="F62" s="1"/>
  <c r="D61"/>
  <c r="F61" s="1"/>
  <c r="D60"/>
  <c r="D59"/>
  <c r="F59" s="1"/>
  <c r="D58"/>
  <c r="F58" s="1"/>
  <c r="D57"/>
  <c r="F57" s="1"/>
  <c r="D56"/>
  <c r="D55"/>
  <c r="F55" s="1"/>
  <c r="D54"/>
  <c r="F54" s="1"/>
  <c r="D53"/>
  <c r="F53" s="1"/>
  <c r="D52"/>
  <c r="D51"/>
  <c r="F51" s="1"/>
  <c r="D24"/>
  <c r="F24" s="1"/>
  <c r="D23"/>
  <c r="D22"/>
  <c r="D21"/>
  <c r="F21" s="1"/>
  <c r="D16"/>
  <c r="F16" s="1"/>
  <c r="D12"/>
  <c r="D10"/>
  <c r="F10" s="1"/>
  <c r="D7"/>
  <c r="F7" s="1"/>
  <c r="D71" i="5"/>
  <c r="F71" s="1"/>
  <c r="D70"/>
  <c r="D69"/>
  <c r="F69" s="1"/>
  <c r="D68"/>
  <c r="F68" s="1"/>
  <c r="D67"/>
  <c r="F67" s="1"/>
  <c r="D66"/>
  <c r="F66" s="1"/>
  <c r="D65"/>
  <c r="F65" s="1"/>
  <c r="D64"/>
  <c r="F64" s="1"/>
  <c r="D63"/>
  <c r="F63" s="1"/>
  <c r="D62"/>
  <c r="F62" s="1"/>
  <c r="D60"/>
  <c r="F60" s="1"/>
  <c r="D58"/>
  <c r="F58" s="1"/>
  <c r="D57"/>
  <c r="F57" s="1"/>
  <c r="D49"/>
  <c r="F49" s="1"/>
  <c r="D38"/>
  <c r="F38" s="1"/>
  <c r="D26"/>
  <c r="F26" s="1"/>
  <c r="D25"/>
  <c r="F25" s="1"/>
  <c r="D24"/>
  <c r="F24" s="1"/>
  <c r="D23"/>
  <c r="F23" s="1"/>
  <c r="D16"/>
  <c r="F16" s="1"/>
  <c r="D15"/>
  <c r="F15" s="1"/>
  <c r="D12"/>
  <c r="F12" s="1"/>
  <c r="D10"/>
  <c r="F10" s="1"/>
  <c r="D7"/>
  <c r="F7" s="1"/>
  <c r="F72" l="1"/>
  <c r="F79" i="9"/>
  <c r="F85" i="7"/>
  <c r="F89" i="6"/>
</calcChain>
</file>

<file path=xl/sharedStrings.xml><?xml version="1.0" encoding="utf-8"?>
<sst xmlns="http://schemas.openxmlformats.org/spreadsheetml/2006/main" count="1394" uniqueCount="302">
  <si>
    <t>细目号</t>
  </si>
  <si>
    <t>细目名称</t>
  </si>
  <si>
    <t>单位</t>
  </si>
  <si>
    <t>暂定工程量</t>
  </si>
  <si>
    <t>合价</t>
  </si>
  <si>
    <t>主要工作内容</t>
  </si>
  <si>
    <t>计量规则</t>
  </si>
  <si>
    <t xml:space="preserve"> 第100章  总则</t>
  </si>
  <si>
    <t>100-1</t>
  </si>
  <si>
    <t>安全生产及行车干扰费</t>
  </si>
  <si>
    <t>月</t>
  </si>
  <si>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2名以上安全员及交通维护员以及一辆安全巡查专用车）等与安全有关的工作内容。</t>
  </si>
  <si>
    <r>
      <rPr>
        <sz val="10"/>
        <color theme="1"/>
        <rFont val="宋体"/>
        <family val="3"/>
        <charset val="134"/>
        <scheme val="minor"/>
      </rPr>
      <t>本项是在本劳务分包工程量清单各细目综合单价中已包含安全经费的基础上综合考虑再增设的费用。本细目按计量进度支付，各项安全警示标志、导向牌等安全设施到位满足开工条件后计量支付0.2</t>
    </r>
    <r>
      <rPr>
        <sz val="10"/>
        <color theme="1"/>
        <rFont val="宋体"/>
        <family val="3"/>
        <charset val="134"/>
        <scheme val="minor"/>
      </rPr>
      <t>；其后每次计量支付</t>
    </r>
    <r>
      <rPr>
        <sz val="10"/>
        <color theme="1"/>
        <rFont val="宋体"/>
        <family val="3"/>
        <charset val="134"/>
        <scheme val="minor"/>
      </rPr>
      <t>0.1用于安全设施维修、补缺及安全人员等费用，累计计量支付至0.8</t>
    </r>
    <r>
      <rPr>
        <sz val="10"/>
        <color theme="1"/>
        <rFont val="宋体"/>
        <family val="3"/>
        <charset val="134"/>
        <scheme val="minor"/>
      </rPr>
      <t>，乙方全部完工退场后计量支付至</t>
    </r>
    <r>
      <rPr>
        <sz val="10"/>
        <color theme="1"/>
        <rFont val="宋体"/>
        <family val="3"/>
        <charset val="134"/>
        <scheme val="minor"/>
      </rPr>
      <t>0.9，本项目交工验收后计量至1.0</t>
    </r>
    <r>
      <rPr>
        <sz val="10"/>
        <color theme="1"/>
        <rFont val="宋体"/>
        <family val="3"/>
        <charset val="134"/>
        <scheme val="minor"/>
      </rPr>
      <t>。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等）等均由乙方提供及实施（围挡随施工点搬迁的费用、施工点导向警示牌、LED灯、爆闪灯、标志标牌、安全锥、基坑围挡、人身保险费、洒水车等），费用已含在综合单价中，不另行计量。施工过程中甲方仅只提供公里桩、公告牌、限高架，乙方应对甲方提供的安全设施进行维护、维修，如损耗过大超过10％，则超过的10％的部份由乙方承担费用，甲方将从乙方的计量款中扣除。</t>
    </r>
  </si>
  <si>
    <t>101-3</t>
  </si>
  <si>
    <t>施工环保费</t>
  </si>
  <si>
    <t>项</t>
  </si>
  <si>
    <t>主线、施工便道等本工区范围内的洒水降尘、河道等水系污染的清理、水土保持、各种污染物、噪声、有害气体等的处理等与环境保护、文明施工相关的所有工作内容。</t>
  </si>
  <si>
    <t>本项是在本劳务分包工程量清单各细目综合单价中已包含施工环保费用的基础上综合考虑再增设的费用。本细目按计量进度支付，每次计量支付0.1，累计计量支付至0.8，乙方全部完工并撤场后计量支付至0.9，本项目交工验收后计量至1.0。乙方必须满足本工区施工作业点、线内施工便道及线外施工便道的洒水降尘，水土保持、各种污染物、噪声、有害气体等的处理，符合国家对环境保护的要求，保障沿线居民的正常生活，满足施工需要。如乙方不配合，不服从业主、监理或甲方管理人员指挥，甲方将另外组织人员实施，费用甲方直接从乙方的施工环保费中扣除，不足部分则从乙方计量款中扣除。</t>
  </si>
  <si>
    <t>201-1</t>
  </si>
  <si>
    <t>清理与掘除</t>
  </si>
  <si>
    <t>-a</t>
  </si>
  <si>
    <t>清理现场</t>
  </si>
  <si>
    <t>m3</t>
  </si>
  <si>
    <t>红线沟开挖及红线桩的埋设，路基排水、灌木、竹林、树木的砍伐及挖根；按设计图纸清除场地表面范围内的垃圾、废料、土（腐殖土）、石头、草皮；清除房屋门口砼路面（切割机切割边线）；与清理现场有关的一切挖运、坑穴的回填、整平、压实；适用材料的装卸移运堆放及非适用材料的移运堆放；现场清理等所有与清除表土、素填土、杂填土有关的工作内容。</t>
  </si>
  <si>
    <t>-c</t>
  </si>
  <si>
    <t>砍伐树木、挖除树根（路树）</t>
  </si>
  <si>
    <t>棵</t>
  </si>
  <si>
    <t>含砍伐、截锯、挖除树根、装卸、移运至指定地点堆放，现场清理等所有与砍树挖根有关的工作内容。</t>
  </si>
  <si>
    <t>依据图纸所示并经现场验收合格的设计（含设计变更）内的工程量以棵为单位计算。安全防护及交通维护措施费等已含在综合单价中，不另行计量。</t>
  </si>
  <si>
    <t>203-1</t>
  </si>
  <si>
    <t>路基挖方</t>
  </si>
  <si>
    <t xml:space="preserve">挖土方
</t>
  </si>
  <si>
    <t>低填浅挖、半填半挖、填挖交界、陡坡地段、新旧路衔接等特殊路基台阶设置；便道、便涵填筑及维护、施工便道及本工区社会车辆通行路段及施工点洒水抑尘；挖、装、运输、卸车；填料分理、弃土整型、压实；.施工排水处理；.边坡整修、路床顶面以下挖松深 300mm 再压实、路床清理、交工验收等所有与挖土方有关的工作内容。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</si>
  <si>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 台阶开挖、施工便道及本工区社会车辆通行路段及施工点洒水抑尘、路床顶面以下挖松深300mm 再压实、安全防护及交通维护措施费等作为挖土方的附属工作，不另行计量；边沟、排水沟、截水沟、涵洞等排水、涵洞工程等开挖土方费用已含在综合单价中，不另行计量。
</t>
  </si>
  <si>
    <t>-b</t>
  </si>
  <si>
    <t>挖石方</t>
  </si>
  <si>
    <t>-1</t>
  </si>
  <si>
    <t>挖软石</t>
  </si>
  <si>
    <r>
      <rPr>
        <sz val="10"/>
        <rFont val="Arial Narrow"/>
        <family val="2"/>
      </rPr>
      <t xml:space="preserve">      </t>
    </r>
    <r>
      <rPr>
        <sz val="10"/>
        <rFont val="宋体"/>
        <family val="3"/>
        <charset val="134"/>
      </rPr>
      <t>低填浅挖、半填半挖、填挖交界、陡坡地段、新旧路衔接等特殊路基台阶设置；便道、便涵填筑及维护、施工便道及本工区社会车辆通行路段及施工点洒水抑尘；石方机械挖除、清理工作面（含解小至符合填筑要求）；挖、装、运输、卸车；填料分理、弃土整型、压实；</t>
    </r>
    <r>
      <rPr>
        <sz val="10"/>
        <rFont val="Arial Narrow"/>
        <family val="2"/>
      </rPr>
      <t>.</t>
    </r>
    <r>
      <rPr>
        <sz val="10"/>
        <rFont val="宋体"/>
        <family val="3"/>
        <charset val="134"/>
      </rPr>
      <t>施工排水处理；边坡整修、路床顶面凿平或石渣填平压实、路床清理等、交工所有与挖石方有关的工作内容。</t>
    </r>
  </si>
  <si>
    <r>
      <rPr>
        <sz val="10"/>
        <color indexed="8"/>
        <rFont val="Arial Narrow"/>
        <family val="2"/>
      </rPr>
      <t xml:space="preserve">        </t>
    </r>
    <r>
      <rPr>
        <sz val="10"/>
        <color indexed="8"/>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本工区社会车辆通行路段及施工点洒水抑尘、</t>
    </r>
    <r>
      <rPr>
        <sz val="10"/>
        <color indexed="8"/>
        <rFont val="Arial Narrow"/>
        <family val="2"/>
      </rPr>
      <t xml:space="preserve"> </t>
    </r>
    <r>
      <rPr>
        <sz val="10"/>
        <color indexed="8"/>
        <rFont val="宋体"/>
        <family val="3"/>
        <charset val="134"/>
      </rPr>
      <t xml:space="preserve">台阶开挖、边沟、排水沟、截水沟、涵洞等排水、涵洞工程开挖石方等费用已含在综合单价中，不另行计量；安全防护及交通维护措施、安全人员等所需费用已含在综合单价中，不另行计量；本项采用非爆破方法开挖。
</t>
    </r>
  </si>
  <si>
    <t>-2</t>
  </si>
  <si>
    <t>挖次坚石/坚石 （老路加宽段）</t>
  </si>
  <si>
    <t>-3</t>
  </si>
  <si>
    <t>挖次坚石/坚石 （新线）</t>
  </si>
  <si>
    <t>挖除非适应性材料</t>
  </si>
  <si>
    <t>红线沟开挖及红线桩的埋设，路基排水、灌木、竹林、树木的砍伐及挖根（直径10cm以内）；按设计图纸清除场地表面范围内的垃圾、废料、土（腐殖土）、石头、草皮；清除房屋门口砼路面（切割机切割边线）；与清理现场有关的一切挖运、坑穴的回填、整平、压实；适用材料的装卸移运堆放及非适用材料的移运堆放；现场清理等所有与清除表土、素填土、杂填土有关的工作内容。</t>
  </si>
  <si>
    <t>-d</t>
  </si>
  <si>
    <t>挖除淤泥</t>
  </si>
  <si>
    <t>施工排水处理；挖除、装载、运输至弃土场、卸车、统一堆放至弃土场整形；现场清理等所有与清除淤泥有关的工作内容。（淤泥指水塘、软土地基）</t>
  </si>
  <si>
    <t>依据图纸所示位置并经现场实际验收合格，挖除路基范围内淤泥按双方核定的设计（含变更设计）内的数量以立方米为单位计量；路基范围以外临时工程用地、场地清理、取、弃土场等清除表土费用及弃土整平费用、安全防护及交通维护措施等已含在综合单价中，不另行计量。计量时须提供现场测量、签认的映像资料。</t>
  </si>
  <si>
    <r>
      <rPr>
        <sz val="10"/>
        <rFont val="宋体"/>
        <family val="3"/>
        <charset val="134"/>
      </rPr>
      <t>-</t>
    </r>
    <r>
      <rPr>
        <sz val="10"/>
        <rFont val="宋体"/>
        <family val="3"/>
        <charset val="134"/>
      </rPr>
      <t>e</t>
    </r>
  </si>
  <si>
    <t>新旧路基交界台阶开挖及回填</t>
  </si>
  <si>
    <t>新旧路衔接等特殊路基台阶设置；便道填筑及维护；挖、装、运输、卸车；填料分理、弃土整型、压实；施工排水处理、边坡修整、路床清理、路床交验等所有与挖土方有关的工作内容。</t>
  </si>
  <si>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填筑及维护、安全防护及交通维护措施作为挖土方的附属工作，不另行计量。</t>
  </si>
  <si>
    <t>203-2</t>
  </si>
  <si>
    <t>改河、改渠、改路挖方</t>
  </si>
  <si>
    <t>挖土方</t>
  </si>
  <si>
    <t>改路</t>
  </si>
  <si>
    <t>低填浅挖、半填半挖、填挖交界、陡坡地段、新旧路衔接等特殊路基台阶设置；便道、便涵填筑及维护、施工便道及施工区洒水抑尘；挖、装、运输、卸车；填料分理、弃土整型、压实；.施工排水处理；.边坡整修、路床顶面以下挖松深 300mm 再压实、路床清理、交工验收等所有与挖土方有关的工作内容。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</si>
  <si>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 台阶开挖、施工便道及施工区洒水抑尘、路床顶面以下挖松深300mm 再压实、安全防护及交通维护措施等作为挖土方的附属工作，不另行计量；边沟、排水沟、截水沟、涵洞等排水、涵洞工程等开挖土方费用已含在综合单价中，不另行计量。
</t>
  </si>
  <si>
    <t>改渠</t>
  </si>
  <si>
    <t>204-1</t>
  </si>
  <si>
    <t>路基填筑（包括填前压实）</t>
  </si>
  <si>
    <t>换填土                 （低填浅挖）</t>
  </si>
  <si>
    <t xml:space="preserve">       挖除非适用性材料、低填浅挖处理、填挖交界处理、半填半挖处理、挖台阶处理、陡坡路堤处理、新旧路基衔接处理、便道、便涵填筑及维护、施工便道及施工区洒水抑尘、基底清理、填前压实；.临时排水；土石方挖装、运输、分层铺筑；分层碾压，修整边坡等所有与换填土有关的工作内容。</t>
  </si>
  <si>
    <t>利用土方</t>
  </si>
  <si>
    <r>
      <rPr>
        <sz val="10"/>
        <color indexed="8"/>
        <rFont val="Arial Narrow"/>
        <family val="2"/>
      </rPr>
      <t xml:space="preserve">     </t>
    </r>
    <r>
      <rPr>
        <sz val="10"/>
        <color indexed="8"/>
        <rFont val="宋体"/>
        <family val="3"/>
        <charset val="134"/>
      </rPr>
      <t>低填浅挖、半填半挖、陡坡地段、填挖交界、新旧路衔接等特殊路基台阶设置；便道、便涵填筑及维护、施工便道及本工区社会车辆通行路段及施工点洒水抑尘；基底翻松、压实、挖台阶；</t>
    </r>
    <r>
      <rPr>
        <sz val="10"/>
        <color indexed="8"/>
        <rFont val="Arial Narrow"/>
        <family val="2"/>
      </rPr>
      <t>.</t>
    </r>
    <r>
      <rPr>
        <sz val="10"/>
        <color indexed="8"/>
        <rFont val="宋体"/>
        <family val="3"/>
        <charset val="134"/>
      </rPr>
      <t>临时排水、</t>
    </r>
    <r>
      <rPr>
        <sz val="10"/>
        <color indexed="8"/>
        <rFont val="Arial Narrow"/>
        <family val="2"/>
      </rPr>
      <t xml:space="preserve"> </t>
    </r>
    <r>
      <rPr>
        <sz val="10"/>
        <color indexed="8"/>
        <rFont val="宋体"/>
        <family val="3"/>
        <charset val="134"/>
      </rPr>
      <t>翻晒；机械整平、分层摊铺；洒水、压实（含小型机具夯实）、刷坡、路基补强；修整边坡、路床整型、路床交验等所有与填方有关的工作内容。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</si>
  <si>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本工区社会车辆通行路段及施工点洒水抑尘、台背回填及地面下沉增加的填方量、路基补强所需费用（含大型冲击锤补强，或者采用强夯机夯实发生的费用）、安全防护及交通维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</si>
  <si>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利用石方</t>
  </si>
  <si>
    <r>
      <rPr>
        <sz val="10"/>
        <color rgb="FF000000"/>
        <rFont val="Times New Roman"/>
        <family val="1"/>
      </rPr>
      <t xml:space="preserve">       </t>
    </r>
    <r>
      <rPr>
        <sz val="10"/>
        <color indexed="8"/>
        <rFont val="宋体"/>
        <family val="3"/>
        <charset val="134"/>
      </rPr>
      <t>低填浅挖、半填半挖、陡坡地段、填挖交界、新旧路衔接等特殊路基台阶设置；便道、便涵填筑及维护、施工便道及本工区社会车辆通行路段及施工点洒水抑尘洒水抑尘；基底翻松、压实，挖台阶；临时排水、</t>
    </r>
    <r>
      <rPr>
        <sz val="10"/>
        <color indexed="8"/>
        <rFont val="Times New Roman"/>
        <family val="1"/>
      </rPr>
      <t xml:space="preserve"> </t>
    </r>
    <r>
      <rPr>
        <sz val="10"/>
        <color indexed="8"/>
        <rFont val="宋体"/>
        <family val="3"/>
        <charset val="134"/>
      </rPr>
      <t>翻晒；边坡码砌；机械整平、分层摊铺；小石块（或石屑）填缝、找补；洒水、压实（含小型机具夯实）、路基补强；修整边坡、路床整型、路床交验等所有与填方有关的工作内容。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</si>
  <si>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涵填筑及维护、施工便道及本工区社会车辆通行路段及施工点洒水抑尘洒水抑尘、台背回填及地面下沉增加的填方量、路基补强所需费用（含大型冲击锤补强，或者采用强夯机夯实发生的费用）、安全防护及交通维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</si>
  <si>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借土填方</t>
  </si>
  <si>
    <r>
      <rPr>
        <sz val="10"/>
        <color indexed="8"/>
        <rFont val="Arial Narrow"/>
        <family val="2"/>
      </rPr>
      <t xml:space="preserve">     </t>
    </r>
    <r>
      <rPr>
        <sz val="10"/>
        <color indexed="8"/>
        <rFont val="宋体"/>
        <family val="3"/>
        <charset val="134"/>
      </rPr>
      <t>低填浅挖处理、填挖交界处理、半填半挖处理、挖台阶处理、陡坡路堤处理、新旧路衔接等特殊路基台阶设置；取土场便道、便涵填筑及维护、施工便道及本工区社会车辆通行路段及施工点洒水抑尘洒水抑尘；借土、石场场地清理、清除不适用材料；</t>
    </r>
    <r>
      <rPr>
        <sz val="10"/>
        <color indexed="8"/>
        <rFont val="Arial Narrow"/>
        <family val="2"/>
      </rPr>
      <t xml:space="preserve"> </t>
    </r>
    <r>
      <rPr>
        <sz val="10"/>
        <color indexed="8"/>
        <rFont val="宋体"/>
        <family val="3"/>
        <charset val="134"/>
      </rPr>
      <t>基底翻松、压实、挖台阶；</t>
    </r>
    <r>
      <rPr>
        <sz val="10"/>
        <color indexed="8"/>
        <rFont val="Arial Narrow"/>
        <family val="2"/>
      </rPr>
      <t xml:space="preserve"> </t>
    </r>
    <r>
      <rPr>
        <sz val="10"/>
        <color indexed="8"/>
        <rFont val="宋体"/>
        <family val="3"/>
        <charset val="134"/>
      </rPr>
      <t>挖、装、运输</t>
    </r>
    <r>
      <rPr>
        <sz val="10"/>
        <color indexed="8"/>
        <rFont val="Arial Narrow"/>
        <family val="2"/>
      </rPr>
      <t>1km</t>
    </r>
    <r>
      <rPr>
        <sz val="10"/>
        <color indexed="8"/>
        <rFont val="宋体"/>
        <family val="3"/>
        <charset val="134"/>
      </rPr>
      <t>内、卸车；分层摊铺；洒水、压实、刷坡、路基补强；施工排水处理；借土场整型等所有与借土填方有关的工作内容。</t>
    </r>
  </si>
  <si>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本工区社会车辆通行路段及施工点洒水抑尘洒水抑尘、台阶开挖及回填、台背回填、预留路基宽度宽填的填方量及地面下沉增加的填方量、路基补强所需费用（含大型冲击锤补强，或者采用强夯机夯实发生的费用）、安全防护及交通维护措施等作为路基填筑的附属工作，不另行计量；边沟、排水沟、截水沟、涵洞等排水、涵洞工程开挖土方、取土场清表、砍挖树木等费用已含在综合单价中，不另行计量。；运输1km内已含在综合单价中，每超过500m运距综合单价增加费用0.70元/m3。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</si>
  <si>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-g</t>
  </si>
  <si>
    <t>结构物台背回填砂砾</t>
  </si>
  <si>
    <t>含材料收集、运输；基底翻松、压实、挖台阶；临时排水；分层摊铺整形；洒水、压实（含小型夯实机夯实）；修整边坡等所有与回填有关的工作内容。</t>
  </si>
  <si>
    <t xml:space="preserve"> 依据图纸所示位置和断面尺寸并经现场实际验收合格，按图示换材料密实体积按双方核定的设计（含变更设计）内的数量以立方米为单位计量；计量时须提供现场测量、签认的映像资料。安全防护及交通维护措施等费用已含在综合单价中，不另行计量。</t>
  </si>
  <si>
    <t>-h</t>
  </si>
  <si>
    <t>锥坡及台前填土</t>
  </si>
  <si>
    <t>含材料收集、运输；基底翻松、压实、挖台阶；临时排水；分层摊铺整形；洒水、压实（含小型夯实机夯实）；修整边坡等所有与锥坡填筑有关的工作内容。</t>
  </si>
  <si>
    <r>
      <rPr>
        <sz val="10"/>
        <color theme="1"/>
        <rFont val="宋体"/>
        <family val="3"/>
        <charset val="134"/>
        <scheme val="minor"/>
      </rPr>
      <t xml:space="preserve"> 依据图纸所示位置和断面尺寸并经现场实际验收合格，按图示换材料密实体积按双方核定的设计（含变更设计）内的数量以立方米为单位计量；计量时须提供现场测量、签认的映像资料。安全防护及交通维护措施等费用已含在综合单价中，不另行计量。土方运输1km</t>
    </r>
    <r>
      <rPr>
        <sz val="10"/>
        <color theme="1"/>
        <rFont val="宋体"/>
        <family val="3"/>
        <charset val="134"/>
        <scheme val="minor"/>
      </rPr>
      <t>内已含在综合单价中，每超过</t>
    </r>
    <r>
      <rPr>
        <sz val="10"/>
        <color theme="1"/>
        <rFont val="宋体"/>
        <family val="3"/>
        <charset val="134"/>
        <scheme val="minor"/>
      </rPr>
      <t>500m</t>
    </r>
    <r>
      <rPr>
        <sz val="10"/>
        <color theme="1"/>
        <rFont val="宋体"/>
        <family val="3"/>
        <charset val="134"/>
        <scheme val="minor"/>
      </rPr>
      <t>运距综合单价增加费用</t>
    </r>
    <r>
      <rPr>
        <sz val="10"/>
        <color theme="1"/>
        <rFont val="宋体"/>
        <family val="3"/>
        <charset val="134"/>
        <scheme val="minor"/>
      </rPr>
      <t>0.70</t>
    </r>
    <r>
      <rPr>
        <sz val="10"/>
        <color theme="1"/>
        <rFont val="宋体"/>
        <family val="3"/>
        <charset val="134"/>
        <scheme val="minor"/>
      </rPr>
      <t>元</t>
    </r>
    <r>
      <rPr>
        <sz val="10"/>
        <color theme="1"/>
        <rFont val="宋体"/>
        <family val="3"/>
        <charset val="134"/>
        <scheme val="minor"/>
      </rPr>
      <t>/m3</t>
    </r>
    <r>
      <rPr>
        <sz val="10"/>
        <color theme="1"/>
        <rFont val="宋体"/>
        <family val="3"/>
        <charset val="134"/>
        <scheme val="minor"/>
      </rPr>
      <t>。</t>
    </r>
  </si>
  <si>
    <t>204-2</t>
  </si>
  <si>
    <t>改河改渠改路填筑</t>
  </si>
  <si>
    <r>
      <rPr>
        <sz val="10"/>
        <color indexed="8"/>
        <rFont val="Arial Narrow"/>
        <family val="2"/>
      </rPr>
      <t xml:space="preserve">     </t>
    </r>
    <r>
      <rPr>
        <sz val="10"/>
        <color indexed="8"/>
        <rFont val="宋体"/>
        <family val="3"/>
        <charset val="134"/>
      </rPr>
      <t>低填浅挖、半填半挖、陡坡地段、填挖交界、新旧路衔接等特殊路基台阶设置；便道、便涵填筑及维护、施工便道及施工区洒水抑尘；基底翻松、压实、挖台阶；</t>
    </r>
    <r>
      <rPr>
        <sz val="10"/>
        <color indexed="8"/>
        <rFont val="Arial Narrow"/>
        <family val="2"/>
      </rPr>
      <t>.</t>
    </r>
    <r>
      <rPr>
        <sz val="10"/>
        <color indexed="8"/>
        <rFont val="宋体"/>
        <family val="3"/>
        <charset val="134"/>
      </rPr>
      <t>临时排水、</t>
    </r>
    <r>
      <rPr>
        <sz val="10"/>
        <color indexed="8"/>
        <rFont val="Arial Narrow"/>
        <family val="2"/>
      </rPr>
      <t xml:space="preserve"> </t>
    </r>
    <r>
      <rPr>
        <sz val="10"/>
        <color indexed="8"/>
        <rFont val="宋体"/>
        <family val="3"/>
        <charset val="134"/>
      </rPr>
      <t>翻晒；机械整平、分层摊铺；洒水、压实（含小型机具夯实）、刷坡、路基补强；修整边坡、路床整型、路床交验等所有与填方有关的工作内容。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</si>
  <si>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施工区洒水抑尘、台背回填及地面下沉增加的填方量、安全防护及交通维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</si>
  <si>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205-1</t>
  </si>
  <si>
    <t>软土地基处理</t>
  </si>
  <si>
    <t>土工织物</t>
  </si>
  <si>
    <t>双向土工格栅</t>
  </si>
  <si>
    <t>m2</t>
  </si>
  <si>
    <r>
      <rPr>
        <sz val="10"/>
        <color indexed="8"/>
        <rFont val="Arial Narrow"/>
        <family val="2"/>
      </rP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粘接）；边缘处理等所有与土工格栅有关的工作内容。</t>
    </r>
  </si>
  <si>
    <r>
      <rPr>
        <sz val="10"/>
        <color indexed="8"/>
        <rFont val="Arial Narrow"/>
        <family val="2"/>
      </rP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设施等费用已含在综合单价中，不另行计量。</t>
    </r>
  </si>
  <si>
    <t>双向钢塑土工格栅</t>
  </si>
  <si>
    <r>
      <rPr>
        <sz val="10"/>
        <color indexed="8"/>
        <rFont val="Arial Narrow"/>
        <family val="2"/>
      </rP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粘接）；边缘处理等所有与纤维格栅有关的工作内容。</t>
    </r>
  </si>
  <si>
    <r>
      <rPr>
        <sz val="10"/>
        <color indexed="8"/>
        <rFont val="Arial Narrow"/>
        <family val="2"/>
      </rP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纤维格栅由甲方提供，锚钉等其余所有材料由乙方自制提供，费用已含在综合单价中，不另行计量。计量时须提供现场测量、签认的映像资料。安全防护及交通维护措施等费用已含在综合单价中，不另行计量。</t>
    </r>
  </si>
  <si>
    <t>高强合成涤纶
纤维土工格栅</t>
  </si>
  <si>
    <t>207-2</t>
  </si>
  <si>
    <t>M7.5浆砌片石排水沟</t>
  </si>
  <si>
    <t>M7.5浆砌片石排水沟（60cm*60cm）</t>
  </si>
  <si>
    <t>m</t>
  </si>
  <si>
    <t>场地清理；地基平整夯实，断面开挖；片石开挖、解小、运输；砂浆拌制、片石砌筑、勾缝；预制件预制、运输、安装；养护等所有与预制块底板浆砌片石排水沟有关的工作内容。</t>
  </si>
  <si>
    <t>C20预制块底板浆砌片石排水沟(60cm*80cm)</t>
  </si>
  <si>
    <t>207-3</t>
  </si>
  <si>
    <t>截水沟</t>
  </si>
  <si>
    <t>207-6</t>
  </si>
  <si>
    <t>改沟、改渠</t>
  </si>
  <si>
    <t>M7.5浆砌片石（2M*2M)</t>
  </si>
  <si>
    <t>207-9</t>
  </si>
  <si>
    <t>砖砌平台沟</t>
  </si>
  <si>
    <t>平台沟
(40cm*40cm)</t>
  </si>
  <si>
    <t xml:space="preserve">    场地清理；地基平整夯实，断面开挖；混凝土浇筑，粘结砖砌筑，砂浆抹面，养护，场地清理等所有与平台沟有关的工作内容。</t>
  </si>
  <si>
    <t>平台沟集中排水沟</t>
  </si>
  <si>
    <t xml:space="preserve">    场地清理；地基平整夯实，断面开挖；混凝土浇筑，粘结砖砌筑，砂浆抹面，养护，盖板预制、运输、安装、场地清理等所有与平台沟集中排水暗沟有关的工作内容。其中底板混凝土由甲方提供。</t>
  </si>
  <si>
    <t xml:space="preserve">    依据图纸所示位置及断面尺寸，并经现场实际验收合格按双方核定的设计（含变更设计）内的数量以米为单位计量；计量时须提供现场测量、签认的映像资料。除铺底C15砼、土工布、6号铁丝网、钢筋由甲方提供外，其余一切材料、人工、机械均由乙方负责，包含安全防护及交通维护措施等费用已含在综合单价中，不另行计量。</t>
  </si>
  <si>
    <t>208-3</t>
  </si>
  <si>
    <t>浆砌片石护坡（不含喷播植草）</t>
  </si>
  <si>
    <t>浆砌片石满砌护坡</t>
  </si>
  <si>
    <t xml:space="preserve">M7.5浆砌片石人字形骨架护坡 </t>
  </si>
  <si>
    <t>含清理边坡，坡面夯实，基础开挖，片石开挖、解小、运输、砂浆拌制、浆砌片石，抹面，养护，回填，清理现场、因施工造成的边坡修复等所有与浆砌片石有关的工作内容。</t>
  </si>
  <si>
    <t>依据图纸所示位置和铺砌厚度、骨架形式，按照护坡体体积并经现场验收合格的按双方核定的设计（含设计变更）内工程量以立方米为单位计量，扣除急流槽、平台沟所占体积。所有材料、设备（含发电机、搅拌机及施工用电设施等）及便道填筑及维护、土石方开挖、安全防护及交通维护措施等均由乙方提供及实施，费用已含在综合单价中，不另行计量。</t>
  </si>
  <si>
    <t>C20砼预制块（人字形骨架护坡）</t>
  </si>
  <si>
    <t>含清理边坡，坡面夯实，基础开挖，预制块的预制、运输、码砌，修整（含抹面），回填；清理现场等所有与砼预制块有关的工作内容。</t>
  </si>
  <si>
    <t>依据图纸所示位置和铺砌厚度、骨架形式，按照护坡体体积并经现场验收合格的按双方核定的设计（含设计变更）内工程量以立方米为单位计量，扣除急流槽、平台沟所占体积。所有模版、材料、设备（含发电机、施工用电设施等）及便道填筑及维护、土石方开挖、安全防护及交通维护措施等均由乙方提供及实施，费用已含在综合单价中，不另行计量。</t>
  </si>
  <si>
    <t>419-1</t>
  </si>
  <si>
    <t>单孔钢筋砼圆管涵</t>
  </si>
  <si>
    <t>圆管涵</t>
  </si>
  <si>
    <t>a-1</t>
  </si>
  <si>
    <t>挖基础</t>
  </si>
  <si>
    <r>
      <rPr>
        <sz val="10"/>
        <color theme="1"/>
        <rFont val="宋体"/>
        <family val="3"/>
        <charset val="134"/>
      </rPr>
      <t xml:space="preserve">   </t>
    </r>
    <r>
      <rPr>
        <sz val="10"/>
        <color indexed="8"/>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t>
    </r>
  </si>
  <si>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indexed="8"/>
        <rFont val="宋体"/>
        <family val="3"/>
        <charset val="134"/>
      </rPr>
      <t>。爆破手续及安全手续的办理、爆破耗材、安全防护及交通维护措施设施、安全人员等所需费用已含在综合单价中，不另行计量；如乙方采用非爆破方法开挖，计量按单价执行，不予调整。</t>
    </r>
  </si>
  <si>
    <t>a-2</t>
  </si>
  <si>
    <t>Φ1.5m管节安装</t>
  </si>
  <si>
    <t>场地清理；圆管卸车；安装、接缝；防水、防冻、防腐措施等所有与管节安装有关的工作内容。</t>
  </si>
  <si>
    <t xml:space="preserve">    依据图纸所示位置及断面尺寸，并经现场实际验收合格按双方核定的设计（含变更设计）内的数量以米为单位计量；除圆管管节由甲方提供外，其余所有材料、设备（含吊车、挖机、油毛毡、沥青麻絮等）、安全防护及交通维护措施等均由乙方提供及实施，费用（含圆管卸车费用；二次调拨、搬运）已含在综合单价中，不另行计量。</t>
  </si>
  <si>
    <t>a-3</t>
  </si>
  <si>
    <t>管基、竖井砂砾垫层</t>
  </si>
  <si>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便道填筑及维护、挖基、基坑排水、基底清理；材料收集或采购、运输、铺筑、碾压等所有与垫层有关的工作内容。</t>
    </r>
  </si>
  <si>
    <t>a-5</t>
  </si>
  <si>
    <r>
      <rPr>
        <sz val="10"/>
        <color rgb="FF000000"/>
        <rFont val="Arial Narrow"/>
        <family val="2"/>
      </rPr>
      <t>C20</t>
    </r>
    <r>
      <rPr>
        <sz val="10"/>
        <color rgb="FF000000"/>
        <rFont val="宋体"/>
        <family val="3"/>
        <charset val="134"/>
      </rPr>
      <t>砼管基</t>
    </r>
  </si>
  <si>
    <t xml:space="preserve">   场地清理；围堰、排水，基坑支护；基础模板制作、安装、拆除；混凝土浇筑、养护；施工缝、沉降缝设置、处理等所有与砼基础有关的工作内容。</t>
  </si>
  <si>
    <t>a-9</t>
  </si>
  <si>
    <r>
      <rPr>
        <sz val="10"/>
        <color rgb="FF000000"/>
        <rFont val="Arial Narrow"/>
        <family val="2"/>
      </rPr>
      <t>C25</t>
    </r>
    <r>
      <rPr>
        <sz val="10"/>
        <color rgb="FF000000"/>
        <rFont val="宋体"/>
        <family val="3"/>
        <charset val="134"/>
      </rPr>
      <t>砼帽石</t>
    </r>
  </si>
  <si>
    <t xml:space="preserve">   场地清理；帽石模板制作、安装、拆除；混凝土浇筑、养护；施工缝设置、处理等所有与砼帽石有关的工作内容。</t>
  </si>
  <si>
    <t>a-10</t>
  </si>
  <si>
    <t>C20砼隔水墙、洞口、八字墙、一字墙基础浇筑</t>
  </si>
  <si>
    <t xml:space="preserve">   场地清理；围堰、排水，基坑支护；基础模板制作、安装、拆除；混凝土浇筑、养护；施工缝、沉降缝设置、处理等所有与基础有关的工作内容。</t>
  </si>
  <si>
    <t>a-11</t>
  </si>
  <si>
    <t>C20八字墙及一字墙砼墙身</t>
  </si>
  <si>
    <t xml:space="preserve">   场地清理；排水；墙身模板制作、安装、拆除；混凝土浇筑、养护；施工缝、沉降缝设置、处理等所有与砼墙身有关的工作内容。</t>
  </si>
  <si>
    <t>420-1-1</t>
  </si>
  <si>
    <t>钢筋砼盖板涵</t>
  </si>
  <si>
    <t>开挖基坑土石方</t>
  </si>
  <si>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indexed="8"/>
        <rFont val="宋体"/>
        <family val="3"/>
        <charset val="134"/>
      </rPr>
      <t>。爆破手续及安全手续的办理、爆破耗材、安全防护及交通维护措施、安全人员等所需费用已含在综合单价中，不另行计量；如乙方采用非爆破方法开挖，计量按单价执行，不予调整。</t>
    </r>
  </si>
  <si>
    <t>砂砾垫层</t>
  </si>
  <si>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便道填筑及维护、挖基、基坑排水、基底清理；材料收集或采购、运输、铺筑、碾压等所有与垫层有关的工作内容。</t>
    </r>
  </si>
  <si>
    <t>基础钢筋
（含墙身连接筋）</t>
  </si>
  <si>
    <t>kg</t>
  </si>
  <si>
    <t xml:space="preserve">    场地清理、场地硬化；钢筋的保护、储存及除锈；钢筋整直、接头；钢筋截断、弯曲、焊接；钢筋安设、支承及固定等所有与钢筋有关的工作内容。</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</si>
  <si>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及交通维护措施等均由乙方提供及实施，费用已含在综合单价中，不另行计量。（注：钢筋损耗按设计图纸数量加1.5%损耗控制，如超过控制数量，超过部份按市价在乙方工程款中扣除。）</t>
  </si>
  <si>
    <t>a-6</t>
  </si>
  <si>
    <t>C25基础砼</t>
  </si>
  <si>
    <t>a-7</t>
  </si>
  <si>
    <t>台身、台帽钢筋</t>
  </si>
  <si>
    <t>a-8</t>
  </si>
  <si>
    <t>C30砼涵台台身、台帽</t>
  </si>
  <si>
    <t xml:space="preserve">   场地清理；排水；墙身模板制作、安装、拆除；混凝土浇筑、养护；施工缝、沉降缝设置、处理等所有与砼台身有关的工作内容。</t>
  </si>
  <si>
    <t>C25帽石砼</t>
  </si>
  <si>
    <t xml:space="preserve">    依据图纸所示位置及断面尺寸，并经现场实际验收合格按双方核定的设计（含变更设计）内的数量以立方米为单位计量；除砼由甲方提供外，其余所有材料、设备（含吊车、挖机、天泵、地泵、发电机及施工用电设施等）、安全防护等均由乙方提供及实施，费用已含在综合单价中，不另行计量。</t>
  </si>
  <si>
    <t>盖板钢筋</t>
  </si>
  <si>
    <t>C30盖板砼</t>
  </si>
  <si>
    <t xml:space="preserve">    场地清理；围堰、排水，平整场地；搭拆工作平台；支架搭设、预压与拆除；安拆模板；4.混凝土浇筑、 养护；5.施工缝、伸缩缝设置处理等所有与砼盖板有关的工作内容。</t>
  </si>
  <si>
    <t>a-12</t>
  </si>
  <si>
    <t>C20砼隔水墙、洞口、八字墙基础浇筑</t>
  </si>
  <si>
    <t>a-13</t>
  </si>
  <si>
    <t>C20八字墙砼墙身</t>
  </si>
  <si>
    <t>防水层</t>
  </si>
  <si>
    <t>含台背清理、清洗、晾干，涂刷防水层等所有与防水层施工有关的所有工作内容。</t>
  </si>
  <si>
    <t>依据图纸所示位置及平面尺寸，并经现场实际验收合格按双方核对的设计（含设计变更）内的数量以平方米为单位计量。本工程所发生的所有费用（含安全防护及交通维护措施）由乙方负责，</t>
  </si>
  <si>
    <t>挖次坚石/坚石（老路加宽段）</t>
  </si>
  <si>
    <t>挖次坚石/坚石（新线）</t>
  </si>
  <si>
    <r>
      <rPr>
        <sz val="12"/>
        <rFont val="宋体"/>
        <family val="3"/>
        <charset val="134"/>
      </rPr>
      <t>-</t>
    </r>
    <r>
      <rPr>
        <sz val="12"/>
        <rFont val="宋体"/>
        <family val="3"/>
        <charset val="134"/>
      </rPr>
      <t>d</t>
    </r>
  </si>
  <si>
    <t>-e</t>
  </si>
  <si>
    <t xml:space="preserve">   -a</t>
  </si>
  <si>
    <t>挖土方（改渠）</t>
  </si>
  <si>
    <t>-o</t>
  </si>
  <si>
    <t>换填石渣</t>
  </si>
  <si>
    <t>60*80cmC20预制块底板浆砌片石排水沟</t>
  </si>
  <si>
    <t>M7.5浆砌片石截水沟(60cm*60cm)</t>
  </si>
  <si>
    <t>平台沟(40cm*40cm)</t>
  </si>
  <si>
    <t>M7.5浆砌片石人字形骨架护坡</t>
  </si>
  <si>
    <t>挖基础及涵顶回填</t>
  </si>
  <si>
    <t>挖基础及涵顶回填（老路加宽段）</t>
  </si>
  <si>
    <t>挖基础及涵顶回填（新线）</t>
  </si>
  <si>
    <t>管节安装</t>
  </si>
  <si>
    <r>
      <rPr>
        <sz val="10"/>
        <color rgb="FF000000"/>
        <rFont val="Arial Narrow"/>
        <family val="2"/>
      </rPr>
      <t>Φ1.25m</t>
    </r>
    <r>
      <rPr>
        <sz val="10"/>
        <color rgb="FF000000"/>
        <rFont val="宋体"/>
        <family val="3"/>
        <charset val="134"/>
      </rPr>
      <t>管节安装</t>
    </r>
  </si>
  <si>
    <r>
      <rPr>
        <sz val="10"/>
        <color rgb="FF000000"/>
        <rFont val="Arial Narrow"/>
        <family val="2"/>
      </rPr>
      <t>Φ1.5m</t>
    </r>
    <r>
      <rPr>
        <sz val="10"/>
        <color rgb="FF000000"/>
        <rFont val="宋体"/>
        <family val="3"/>
        <charset val="134"/>
      </rPr>
      <t>管节安装</t>
    </r>
  </si>
  <si>
    <t>a-4</t>
  </si>
  <si>
    <t>C25端墙基础</t>
  </si>
  <si>
    <t>C25端墙墙身砼</t>
  </si>
  <si>
    <t xml:space="preserve">   场地清理；排水；墙身模板制作、安装、拆除；混凝土浇筑、养护；施工缝、沉降缝设置、处理等所有与端墙墙身有关的工作内容。</t>
  </si>
  <si>
    <t>C30竖井</t>
  </si>
  <si>
    <t xml:space="preserve">   场地清理；排水；墙身模板制作、安装、拆除；混凝土浇筑、养护；施工缝、沉降缝设置、处理等所有与砼竖井有关的工作内容。</t>
  </si>
  <si>
    <t>竖井钢筋</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</si>
  <si>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等均由乙方提供及实施，费用已含在综合单价中，不另行计量。（注：钢筋损耗按设计图纸数量加1.5%损耗控制，如超过控制数量，超过部份按市价在乙方工程款中扣除。）</t>
  </si>
  <si>
    <t>两侧回填砂砾</t>
  </si>
  <si>
    <t>开挖基坑土石方及涵顶回填</t>
  </si>
  <si>
    <t>a-14</t>
  </si>
  <si>
    <t>a-15</t>
  </si>
  <si>
    <t>420-1-2</t>
  </si>
  <si>
    <t>箱涵</t>
  </si>
  <si>
    <r>
      <rPr>
        <sz val="10"/>
        <color theme="1"/>
        <rFont val="宋体"/>
        <family val="3"/>
        <charset val="134"/>
      </rPr>
      <t xml:space="preserve">   </t>
    </r>
    <r>
      <rPr>
        <sz val="10"/>
        <color indexed="8"/>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t>
    </r>
  </si>
  <si>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indexed="8"/>
        <rFont val="宋体"/>
        <family val="3"/>
        <charset val="134"/>
      </rPr>
      <t>。爆破手续及安全手续的办理、爆破耗材、安全防护及交通维护措施、安全人员等所需费用已含在综合单价中，不另行计量；如乙方采用非爆破方法开挖，计量按单价执行，不予调整。</t>
    </r>
  </si>
  <si>
    <t>砂砾换填</t>
  </si>
  <si>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便道填筑及维护、挖基、基坑排水、基底清理；材料收集或采购、运输、铺筑、碾压等所有与换填有关的工作内容。</t>
    </r>
  </si>
  <si>
    <t>管基砂砾垫层</t>
  </si>
  <si>
    <t>管基C25砼垫层</t>
  </si>
  <si>
    <t xml:space="preserve">   场地清理；围堰、排水，基坑支护；基础模板制作、安装、拆除；混凝土浇筑、养护；施工缝、沉降缝设置、处理等所有与垫层有关的工作内容。</t>
  </si>
  <si>
    <t>箱身钢筋</t>
  </si>
  <si>
    <t>C30箱身混凝土（含现浇顶板）</t>
  </si>
  <si>
    <t xml:space="preserve"> 场地清理；围堰、排水，平整场地；搭拆工作平台；支架搭设、预压与拆除；安拆模板；4.混凝土浇筑、 养护；5.施工缝、伸缩缝设置处理等所有与砼箱身有关的工作内容。</t>
  </si>
  <si>
    <t>C25八字墙基础、洞口铺砌及隔水墙</t>
  </si>
  <si>
    <t>C25砼八字墙墙身</t>
  </si>
  <si>
    <t>依据图纸所示位置及平面尺寸，并经现场实际验收合格按双方核对的设计（含设计变更）内的数量以平方米为单位计量。本工程所发生的所有费用由乙方负责，</t>
  </si>
  <si>
    <r>
      <rPr>
        <sz val="10"/>
        <rFont val="宋体"/>
        <family val="3"/>
        <charset val="134"/>
      </rPr>
      <t>-</t>
    </r>
    <r>
      <rPr>
        <sz val="10"/>
        <rFont val="宋体"/>
        <family val="3"/>
        <charset val="134"/>
      </rPr>
      <t>b</t>
    </r>
  </si>
  <si>
    <r>
      <rPr>
        <sz val="10"/>
        <rFont val="Arial Narrow"/>
        <family val="2"/>
      </rPr>
      <t xml:space="preserve">     </t>
    </r>
    <r>
      <rPr>
        <sz val="10"/>
        <rFont val="宋体"/>
        <family val="3"/>
        <charset val="134"/>
      </rPr>
      <t>低填浅挖、半填半挖、填挖交界、陡坡地段、新旧路衔接等特殊路基台阶设置；便道、便涵填筑及维护、施工便道及本工区社会车辆通行路段及施工点洒水抑尘；石方机械挖除、清理工作面（含解小至符合填筑要求）；挖、装、运输、卸车；填料分理、弃土整型、压实；</t>
    </r>
    <r>
      <rPr>
        <sz val="10"/>
        <rFont val="Arial Narrow"/>
        <family val="2"/>
      </rPr>
      <t>.</t>
    </r>
    <r>
      <rPr>
        <sz val="10"/>
        <rFont val="宋体"/>
        <family val="3"/>
        <charset val="134"/>
      </rPr>
      <t>施工排水处理；边坡整修、路床顶面凿平或石渣填平压实、路床清理等、交工所有与挖石方有关的工作内容。</t>
    </r>
  </si>
  <si>
    <r>
      <rPr>
        <sz val="10"/>
        <color indexed="8"/>
        <rFont val="Arial Narrow"/>
        <family val="2"/>
      </rPr>
      <t xml:space="preserve">       </t>
    </r>
    <r>
      <rPr>
        <sz val="10"/>
        <color indexed="8"/>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本工区社会车辆通行路段及施工点洒水抑尘、</t>
    </r>
    <r>
      <rPr>
        <sz val="10"/>
        <color indexed="8"/>
        <rFont val="Arial Narrow"/>
        <family val="2"/>
      </rPr>
      <t xml:space="preserve"> </t>
    </r>
    <r>
      <rPr>
        <sz val="10"/>
        <color indexed="8"/>
        <rFont val="宋体"/>
        <family val="3"/>
        <charset val="134"/>
      </rPr>
      <t xml:space="preserve">台阶开挖、边沟、排水沟、截水沟、涵洞等排水、涵洞工程开挖石方等费用已含在综合单价中，不另行计量；安全防护及交通维护措施、安全人员等所需费用已含在综合单价中，不另行计量；本项采用非爆破方法开挖。
</t>
    </r>
  </si>
  <si>
    <t>挖次坚石/坚石</t>
  </si>
  <si>
    <r>
      <rPr>
        <sz val="10"/>
        <rFont val="宋体"/>
        <family val="3"/>
        <charset val="134"/>
      </rPr>
      <t xml:space="preserve">   -</t>
    </r>
    <r>
      <rPr>
        <sz val="10"/>
        <rFont val="宋体"/>
        <family val="3"/>
        <charset val="134"/>
      </rPr>
      <t>d</t>
    </r>
  </si>
  <si>
    <t>换填土</t>
  </si>
  <si>
    <t>换填土             （低填浅挖）</t>
  </si>
  <si>
    <r>
      <rPr>
        <sz val="10"/>
        <color indexed="8"/>
        <rFont val="Arial Narrow"/>
        <family val="2"/>
      </rPr>
      <t xml:space="preserve">   </t>
    </r>
    <r>
      <rPr>
        <sz val="10"/>
        <color indexed="8"/>
        <rFont val="宋体"/>
        <family val="3"/>
        <charset val="134"/>
      </rPr>
      <t>低填浅挖、半填半挖、陡坡地段、填挖交界、新旧路衔接等特殊路基台阶设置；便道、便涵填筑及维护、施工便道及本工区社会车辆通行路段及施工点洒水抑尘；基底翻松、压实、挖台阶；</t>
    </r>
    <r>
      <rPr>
        <sz val="10"/>
        <color indexed="8"/>
        <rFont val="Arial Narrow"/>
        <family val="2"/>
      </rPr>
      <t>.</t>
    </r>
    <r>
      <rPr>
        <sz val="10"/>
        <color indexed="8"/>
        <rFont val="宋体"/>
        <family val="3"/>
        <charset val="134"/>
      </rPr>
      <t>临时排水、</t>
    </r>
    <r>
      <rPr>
        <sz val="10"/>
        <color indexed="8"/>
        <rFont val="Arial Narrow"/>
        <family val="2"/>
      </rPr>
      <t xml:space="preserve"> </t>
    </r>
    <r>
      <rPr>
        <sz val="10"/>
        <color indexed="8"/>
        <rFont val="宋体"/>
        <family val="3"/>
        <charset val="134"/>
      </rPr>
      <t>翻晒；机械整平、分层摊铺；洒水、压实（含小型机具夯实）、刷坡、路基补强；修整边坡、路床整型、路床交验等所有与填方有关的工作内容。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</si>
  <si>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本工区社会车辆通行路段及施工点洒水抑尘、台背回填及地面下沉增加的填方量、路基补强所需费用（含大型冲击锤补强，或者采用强夯机夯实发生的费用）、安全防护及交通维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</si>
  <si>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r>
      <rPr>
        <sz val="10"/>
        <color rgb="FF000000"/>
        <rFont val="Times New Roman"/>
        <family val="1"/>
      </rPr>
      <t xml:space="preserve">       </t>
    </r>
    <r>
      <rPr>
        <sz val="10"/>
        <color indexed="8"/>
        <rFont val="Times New Roman"/>
        <family val="1"/>
      </rPr>
      <t xml:space="preserve">  </t>
    </r>
    <r>
      <rPr>
        <sz val="10"/>
        <color indexed="8"/>
        <rFont val="宋体"/>
        <family val="3"/>
        <charset val="134"/>
      </rPr>
      <t>低填浅挖、半填半挖、陡坡地段、填挖交界、新旧路衔接等特殊路基台阶设置；便道、便涵填筑及维护、施工便道及本工区社会车辆通行路段及施工点洒水抑尘洒水抑尘；基底翻松、压实，挖台阶；临时排水、</t>
    </r>
    <r>
      <rPr>
        <sz val="10"/>
        <color indexed="8"/>
        <rFont val="Times New Roman"/>
        <family val="1"/>
      </rPr>
      <t xml:space="preserve"> </t>
    </r>
    <r>
      <rPr>
        <sz val="10"/>
        <color indexed="8"/>
        <rFont val="宋体"/>
        <family val="3"/>
        <charset val="134"/>
      </rPr>
      <t>翻晒；边坡码砌；机械整平、分层摊铺；小石块（或石屑）填缝、找补；洒水、压实（含小型机具夯实）、路基补强；修整边坡、路床整型、路床交验等所有与填方有关的工作内容。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</si>
  <si>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涵填筑及维护、施工便道及本工区社会车辆通行路段及施工点洒水抑尘洒水抑尘、台背回填及地面下沉增加的填方量、路基补强所需费用（含大型冲击锤补强，或者采用强夯机夯实发生的费用）、安全防护及交通维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</si>
  <si>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 xml:space="preserve">   -e</t>
  </si>
  <si>
    <r>
      <rPr>
        <sz val="10"/>
        <color theme="1"/>
        <rFont val="宋体"/>
        <family val="3"/>
        <charset val="134"/>
        <scheme val="minor"/>
      </rPr>
      <t xml:space="preserve"> 依据图纸所示位置和断面尺寸并经现场实际验收合格，按图示换材料密实体积按双方核定的设计（含变更设计）内的数量以立方米为单位计量；计量时须提供现场测量、签认的映像资料。安全防护及交通维护措施等费用已含在综合单价中，不另行计量。土方运输</t>
    </r>
    <r>
      <rPr>
        <sz val="10"/>
        <color theme="1"/>
        <rFont val="宋体"/>
        <family val="3"/>
        <charset val="134"/>
        <scheme val="minor"/>
      </rPr>
      <t>1km</t>
    </r>
    <r>
      <rPr>
        <sz val="10"/>
        <color theme="1"/>
        <rFont val="宋体"/>
        <family val="3"/>
        <charset val="134"/>
        <scheme val="minor"/>
      </rPr>
      <t>内已含在综合单价中，每超过</t>
    </r>
    <r>
      <rPr>
        <sz val="10"/>
        <color theme="1"/>
        <rFont val="宋体"/>
        <family val="3"/>
        <charset val="134"/>
        <scheme val="minor"/>
      </rPr>
      <t>500m</t>
    </r>
    <r>
      <rPr>
        <sz val="10"/>
        <color theme="1"/>
        <rFont val="宋体"/>
        <family val="3"/>
        <charset val="134"/>
        <scheme val="minor"/>
      </rPr>
      <t>运距综合单价增加费用</t>
    </r>
    <r>
      <rPr>
        <sz val="10"/>
        <color theme="1"/>
        <rFont val="宋体"/>
        <family val="3"/>
        <charset val="134"/>
        <scheme val="minor"/>
      </rPr>
      <t>0.70</t>
    </r>
    <r>
      <rPr>
        <sz val="10"/>
        <color theme="1"/>
        <rFont val="宋体"/>
        <family val="3"/>
        <charset val="134"/>
        <scheme val="minor"/>
      </rPr>
      <t>元</t>
    </r>
    <r>
      <rPr>
        <sz val="10"/>
        <color theme="1"/>
        <rFont val="宋体"/>
        <family val="3"/>
        <charset val="134"/>
        <scheme val="minor"/>
      </rPr>
      <t>/m3</t>
    </r>
    <r>
      <rPr>
        <sz val="10"/>
        <color theme="1"/>
        <rFont val="宋体"/>
        <family val="3"/>
        <charset val="134"/>
        <scheme val="minor"/>
      </rPr>
      <t>。</t>
    </r>
  </si>
  <si>
    <t>M7.5浆砌片石(200cm*100cm倒梯形排水沟）</t>
  </si>
  <si>
    <t>平台沟（40cm*40cm)</t>
  </si>
  <si>
    <t>单孔钢筋砼圆管涵（老路加宽段）</t>
  </si>
  <si>
    <t xml:space="preserve">钢筋砼盖板涵              </t>
  </si>
  <si>
    <t>C20预制块底板浆砌片石排水沟（60cm*80cm)</t>
  </si>
  <si>
    <t>钢筋竖井</t>
  </si>
  <si>
    <t>G320弋阳朱坑至圭峰段公路改建工程路基工程LJFB-1标段劳务发包工程量清单（一工区K598+348.243-K602+220）</t>
    <phoneticPr fontId="36" type="noConversion"/>
  </si>
  <si>
    <t>a-14</t>
    <phoneticPr fontId="36" type="noConversion"/>
  </si>
  <si>
    <t xml:space="preserve">    依据图纸所示位置及断面尺寸，并经现场实际验收合格按双方核定的设计（含变更设计）内的数量以立方米为单位计量；除砼由甲方提供外，其余所有材料（含片石、沥青麻絮等）、设备（含挖机、发电机及施工用电设施等）、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</si>
  <si>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设备（含挖机、发电机及施工用电设施等）、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</si>
  <si>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含沥青麻絮等）、设备（含挖机、发电机及施工用电设施等）、安全防护及交通维护措施等均由乙方提供及实施，费用已含在综合单价中，不另行计量。</t>
    <phoneticPr fontId="36" type="noConversion"/>
  </si>
  <si>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挖机、发电机及施工用电设施等）、安全防护及交通维护措施等均由乙方提供及实施，费用已含在综合单价中，不另行计量。（注：钢筋损耗按设计图纸数量加1.5%损耗控制，如超过控制数量，超过部份按市价在乙方工程款中扣除。）</t>
    <phoneticPr fontId="36" type="noConversion"/>
  </si>
  <si>
    <t xml:space="preserve">    依据图纸所示位置及断面尺寸，并经现场实际验收合格按双方核定的设计（含变更设计）内的数量以立方米为单位计量；除砼由甲方提供外，其余所有材料、设备（含挖机、发电机及施工用电设施等）、安全防护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</si>
  <si>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所有材料、设备及便道填筑及维护、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</si>
  <si>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米为单位计量；除圆管管节由甲方提供外，其余所有材料、设备（含挖机、油毛毡、沥青麻絮等）、安全防护及交通维护措施等均由乙方提供及实施，费用（含圆管卸车费用；二次调拨、搬运）已含在综合单价中，不另行计量。</t>
    <phoneticPr fontId="36" type="noConversion"/>
  </si>
  <si>
    <t>依据图纸所示位置和铺砌厚度、骨架形式，按照护坡体体积并经现场验收合格的按双方核定的设计（含设计变更）内工程量以立方米为单位计量，扣除急流槽、平台沟所占体积。所有模板、材料、设备（含发电机、施工用电设施等）及便道填筑及维护、土石方开挖、安全防护及交通维护措施等均由乙方提供及实施，费用已含在综合单价中，不另行计量。</t>
    <phoneticPr fontId="36" type="noConversion"/>
  </si>
  <si>
    <t>依据图纸所示位置和铺砌厚度，按照护坡体体积并经现场验收合格的按双方核定的设计（含设计变更）内工程量以立方米为单位计量，扣除急流槽、平台沟所占体积。所有材料、设备（含发电机、搅拌机及施工用电设施等）及便道填筑及维护、土石方开挖、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</si>
  <si>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米为单位计量；除底板砼由甲方提供外，其余所有材料、设备（含挖机、发电机及施工用电设施等等）、开挖土方、安全防护及交通维护措施等均由乙方提供及实施，费用已含在综合单价中，不另行计量。</t>
    <phoneticPr fontId="36" type="noConversion"/>
  </si>
  <si>
    <t>M7.5浆砌片石截水沟（60cm*60cm)</t>
    <phoneticPr fontId="36" type="noConversion"/>
  </si>
  <si>
    <t>场地清理；地基平整夯实，断面开挖；片石开挖、解小、运输；砂浆拌制、片石砌筑、勾缝；养护等所有与截水沟有关的工作内容。</t>
    <phoneticPr fontId="36" type="noConversion"/>
  </si>
  <si>
    <t xml:space="preserve">    依据图纸所示位置及断面尺寸，并经现场实际验收合格按双方核定的设计（含变更设计）内的数量（主线中心桩号的距离）以米为单位计量；计量时须提供现场测量、签认的映像资料。除底板砼由甲方提供外，其余所有材料、设备（含吊车、挖机、发电机及施工用电设施等等）、开挖土方、安全防护及交通维护措施等均由乙方提供及实施，费用已含在综合单价中，不另行计量。</t>
    <phoneticPr fontId="36" type="noConversion"/>
  </si>
  <si>
    <t>场地清理；地基平整夯实，断面开挖；片石开挖、解小、运输；砂浆拌制、片石砌筑、勾缝；养护等所有与改沟、改渠有关的工作内容。</t>
    <phoneticPr fontId="36" type="noConversion"/>
  </si>
  <si>
    <t xml:space="preserve">    依据图纸所示位置及断面尺寸，并经现场实际验收合格按双方核定的设计（含变更设计）内的数量以米为单位计量；计量时须提供现场测量、签认的映像资料。所有材料、设备（含吊车、挖机、发电机及施工用电设施等等）、开挖土方、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</si>
  <si>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米为单位计量；所有材料、设备（含吊车、挖机发电机及施工用电设施等等）、开挖土方、安全防护及交通维护措施等均由乙方提供及实施，费用已含在综合单价中，不另行计量。</t>
    <phoneticPr fontId="36" type="noConversion"/>
  </si>
  <si>
    <t>场地清理；地基平整夯实，断面开挖；片石开挖、解小、运输；砂浆拌制、片石砌筑、勾缝；养护等所有与排水沟有关的工作内容。</t>
    <phoneticPr fontId="36" type="noConversion"/>
  </si>
  <si>
    <t xml:space="preserve">    依据图纸所示位置及断面尺寸，并经现场实际验收合格按双方核定的设计（含变更设计）内的数量以米为单位计量；所有材料、设备（含吊车、挖机、发电机及施工用电设施等等）、开挖土方、安全防护及交通维护措施等均由乙方提供及实施，费用已含在综合单价中，不另行计量。</t>
    <phoneticPr fontId="36" type="noConversion"/>
  </si>
  <si>
    <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及交通维护措施等费用已含在综合单价中，不另行计量。</t>
    </r>
    <phoneticPr fontId="36" type="noConversion"/>
  </si>
  <si>
    <t xml:space="preserve"> 依据图纸所示位置和断面尺寸并经现场实际验收合格，按图示换材料密实体积按双方核定的设计（含变更设计）内的数量以立方米为单位计量；计量时须提供现场测量、签认的映像资料。除砂砾由甲方提供外，其余所有材料、设备（含挖机等）、安全防护及交通维护措施等均由乙方提供及实施，费用已含在综合单价中，不另行计量。</t>
    <phoneticPr fontId="36" type="noConversion"/>
  </si>
  <si>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本工区社会车辆通行路段及施工点洒水抑尘、台背回填及地面下沉增加的填方量、路基补强所需费用（含大型冲击锤补强，或者采用强夯机夯实发生的费用）、安全防护及交通维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phoneticPr fontId="36" type="noConversion"/>
  </si>
  <si>
    <t xml:space="preserve">    挖除非适用性材料、低填浅挖处理、填挖交界处理、半填半挖处理、挖台阶处理、陡坡路堤处理、新旧路基衔接处理、便道、便涵填筑及维护、施工便道及施工区洒水抑尘、基底清理、填前压实；.临时排水；土石方挖装、运输、分层铺筑；分层碾压，修整边坡等所有与换填土有关的工作内容。</t>
    <phoneticPr fontId="36" type="noConversion"/>
  </si>
  <si>
    <t xml:space="preserve">依据图纸所示地面线、设计横断面图、图纸所示路基土石比例（实际如有不符，不予调整）并经现场实际验收合格，采用平均断面面积法计算，按照天然密实体积按双方核定的设计（含变更设计）内的数量以立方米为单位计量；施工便道及施工区洒水抑尘、安全防护及交通维护措施等作为挖土方的附属工作，不另行计量；
</t>
    <phoneticPr fontId="36" type="noConversion"/>
  </si>
  <si>
    <r>
      <t>依据图纸所示位置及范围并经现场实际验收合格，按路基开挖线或填筑边线之间的水平投影面积按双方核定的设计（含变更设计）内的数量，以立方米为单位计量。台阶开挖、施工便道、便涵修建及维护、施工便道及施工区洒水抑尘、路基范围以外临时工程用地、场地清理、取、弃土场等清除表土费用、</t>
    </r>
    <r>
      <rPr>
        <sz val="10"/>
        <rFont val="宋体"/>
        <family val="3"/>
        <charset val="134"/>
      </rPr>
      <t>弃土整平费用、安全防护及交通维护措施等已含在综合单价中，不另行计量。</t>
    </r>
    <phoneticPr fontId="36" type="noConversion"/>
  </si>
  <si>
    <r>
      <t xml:space="preserve">        </t>
    </r>
    <r>
      <rPr>
        <sz val="10"/>
        <color indexed="8"/>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本工区社会车辆通行路段及施工点洒水抑尘、</t>
    </r>
    <r>
      <rPr>
        <sz val="10"/>
        <color indexed="8"/>
        <rFont val="Arial Narrow"/>
        <family val="2"/>
      </rPr>
      <t xml:space="preserve"> </t>
    </r>
    <r>
      <rPr>
        <sz val="10"/>
        <color indexed="8"/>
        <rFont val="宋体"/>
        <family val="3"/>
        <charset val="134"/>
      </rPr>
      <t xml:space="preserve">台阶开挖、边沟、排水沟、截水沟、涵洞等排水、涵洞工程开挖石方等费用已含在综合单价中，不另行计量；安全防护及交通维护措施、安全人员等所需费用已含在综合单价中，不另行计量；本项采用非爆破方法开挖。
</t>
    </r>
    <phoneticPr fontId="36" type="noConversion"/>
  </si>
  <si>
    <r>
      <rPr>
        <sz val="10"/>
        <rFont val="宋体"/>
        <family val="3"/>
        <charset val="134"/>
      </rPr>
      <t>依据图纸所示位置及范围并经现场实际验收合格，按路基开挖线或填筑边线之间的水平投影面积按双方核定的设计（含变更设计）内的数量，以立方米为单位计量。灌木、竹林、树木的砍伐及挖根、台阶开挖、施工便道、便涵修建及维护、施工便道及施工区洒水抑尘、路基范围以外临时工程用地、场地清理、取、弃土场等清除表土费用、切割清除房屋门口砼路面费用及弃土整平费用、</t>
    </r>
    <r>
      <rPr>
        <sz val="10"/>
        <color rgb="FFFF0000"/>
        <rFont val="宋体"/>
        <family val="3"/>
        <charset val="134"/>
      </rPr>
      <t>安全防护及交通维护措施费等</t>
    </r>
    <r>
      <rPr>
        <sz val="10"/>
        <rFont val="宋体"/>
        <family val="3"/>
        <charset val="134"/>
      </rPr>
      <t>已含在综合单价中，不另行计量。</t>
    </r>
    <phoneticPr fontId="36" type="noConversion"/>
  </si>
  <si>
    <t>依据图纸所示位置和断面尺寸并经现场实际验收合格，按图示换填石渣材料密实体积按双方核定的设计（含变更设计）内的数量以立方米为单位计量；因换填而挖除的非适用材料、回填土方、便道便涵填筑及维护、 台阶开挖、施工便道及施工区洒水抑尘等、安全防护及交通维护措施费已含入综合单价中，不另行计量。按照实际所完成的工程数量计量并须提供现场测量、签认的映像资料。</t>
  </si>
  <si>
    <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纤维格栅由甲方提供，锚钉等其余所有材料由乙方自制提供，费用已含在综合单价中，不另行计量。计量时须提供现场测量、签认的映像资料。安全防护及交通维护措施等费用已含在综合单价中，不另行计量。</t>
    </r>
    <phoneticPr fontId="36" type="noConversion"/>
  </si>
  <si>
    <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设施及交通维护措施等费用已含在综合单价中，不另行计量。</t>
    </r>
    <phoneticPr fontId="36" type="noConversion"/>
  </si>
  <si>
    <t xml:space="preserve">  依据图纸所示位置及断面尺寸，并经现场实际验收合格按双方核定的设计（含变更设计）内的数量以米为单位计量；除底板砼由甲方提供外，其余所有材料、设备（含吊车、挖机、发电机及施工用电设施等等）、开挖土方、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</si>
  <si>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设备（含吊车、挖机、发电机及施工用电设施等）、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</si>
  <si>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设备（含吊车、挖机、发电机及施工用电设施等）、安全防护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</si>
  <si>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含沥青麻絮等）、设备（含吊车、挖机、发电机及施工用电设施等）、安全防护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</si>
  <si>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含片石、沥青麻絮等）、设备（含吊车、挖机、发电机及施工用电设施等）、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</si>
  <si>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含沥青麻絮等）、设备（含吊车、挖机、发电机及施工用电设施等）、安全防护及交通维护措施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</si>
  <si>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除砼由甲方提供外，其余所有材料（含片石、沥青麻絮等）、设备（含吊车、挖机、发电机及施工用电设施等）、安全防护等均由乙方提供及实施，费用已含在综合单价中，不另行计量。</t>
    <phoneticPr fontId="36" type="noConversion"/>
  </si>
  <si>
    <t xml:space="preserve">    依据图纸所示位置及断面尺寸，并经现场实际验收合格按双方核定的设计（含变更设计）内的数量以立方米为单位计量；所有材料、设备及便道填筑及维护、安全防护设施等均由乙方提供及实施，费用已含在综合单价中，不另行计量。</t>
    <phoneticPr fontId="36" type="noConversion"/>
  </si>
  <si>
    <t>依据图纸所示位置及范围并经现场实际验收合格，按路基开挖线或填筑边线之间的水平投影面积按双方核定的设计（含变更设计）内的数量，以立方米为单位计量。灌木、竹林、树木的砍伐及挖根、台阶开挖、施工便道、便涵修建及维护、施工便道及施工区洒水抑尘、路基范围以外临时工程用地、场地清理、取、弃土场等清除表土费用、切割清除房屋门口砼路面费用及弃土整平费用、安全防护及交通维护措施费等已含在综合单价中，不另行计量。</t>
    <phoneticPr fontId="36" type="noConversion"/>
  </si>
  <si>
    <t>综合单价（元）</t>
    <phoneticPr fontId="36" type="noConversion"/>
  </si>
  <si>
    <r>
      <t>依据图纸所示位置及范围并经现场实际验收合格，按路基开挖线或填筑边线之间的水平投影面积按双方核定的设计（含变更设计）内的数量，以立方米为单位计量。台阶开挖、施工便道、施工便道及施工区洒水抑尘、路基范围以外临时工程用地、场地清理、取、弃土场等清除表土费用、</t>
    </r>
    <r>
      <rPr>
        <sz val="10"/>
        <rFont val="宋体"/>
        <family val="3"/>
        <charset val="134"/>
      </rPr>
      <t>弃土整平费用、安全防护及交通维护措施等已含在综合单价中，不另行计量。</t>
    </r>
    <phoneticPr fontId="36" type="noConversion"/>
  </si>
  <si>
    <t xml:space="preserve">    依据图纸所示位置及断面尺寸，并经现场实际验收合格按双方核定的设计（含变更设计）内的数量以立方米为单位计量；所有材料、设备及便道填筑及维护、除砂砾由甲方提供外，其余所有材料、设备（含挖机等）、安全防护及交通维护措施等均由乙方提供及实施，费用已含在综合单价中，不另行计量。</t>
    <phoneticPr fontId="36" type="noConversion"/>
  </si>
  <si>
    <t>合计</t>
    <phoneticPr fontId="36" type="noConversion"/>
  </si>
  <si>
    <t>备注：本次招标项目要求施工队必须配备足够的现场技术人员（其中：至少配备1名专业测量技术人员,及至少配备GPS和水准测量仪器各1台）；各施工队机械配备必须要求使用26t以上的压路机、洒水车,机械数量必须满足甲方施工要求；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</si>
  <si>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</si>
  <si>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</si>
  <si>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</si>
  <si>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</si>
  <si>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4、土石方结算按路基设计图纸计算，土石比不予调整。</t>
  </si>
  <si>
    <t>G320沪瑞线弋阳朱坑至圭峰段公路改建工程路基工程LJFB-3标段劳务发包工程量清单（三工区K615+810-K622+500）</t>
    <phoneticPr fontId="36" type="noConversion"/>
  </si>
  <si>
    <t>G320沪瑞线弋阳朱坑至圭峰段公路改建工程路基工程LJFB-4标段劳务发包工程量清单（四工区K622+500-K629+754.956）</t>
    <phoneticPr fontId="36" type="noConversion"/>
  </si>
  <si>
    <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粘接）；边缘处理等所有与土工格栅有关的工作内容。</t>
    </r>
    <phoneticPr fontId="36" type="noConversion"/>
  </si>
  <si>
    <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粘接）；边缘处理等所有与格栅有关的工作内容。</t>
    </r>
    <phoneticPr fontId="36" type="noConversion"/>
  </si>
  <si>
    <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粘接）；边缘处理等所有与格栅有关的工作内容。</t>
    </r>
    <phoneticPr fontId="36" type="noConversion"/>
  </si>
  <si>
    <t xml:space="preserve">   场地清理；围堰、排水，基坑支护；基础模板制作、安装、拆除；混凝土浇筑、养护；施工缝、沉降缝设置、处理等所有与基础有关的工作内容。</t>
    <phoneticPr fontId="36" type="noConversion"/>
  </si>
  <si>
    <t>G320沪瑞线弋阳朱坑至圭峰段公路改建工程路基工程LJFB-2标段劳务发包工程量清单（二工区K602+220-K608+408.293）</t>
    <phoneticPr fontId="36" type="noConversion"/>
  </si>
  <si>
    <t>含台背清理、清洗、晾干，涂刷防水层等所有与防水层施工有关的所有工作内容。</t>
    <phoneticPr fontId="36" type="noConversion"/>
  </si>
  <si>
    <t>备注：本次招标项目要求施工队必须配备足够的现场技术人员（其中：至少配备1名专业测量技术人员,及至少配备GPS和水准测量仪器各1台）；各施工队机械配备必须要求使用26t以上的压路机、洒水车,机械数量必须满足甲方施工要求；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phoneticPr fontId="36" type="noConversion"/>
  </si>
</sst>
</file>

<file path=xl/styles.xml><?xml version="1.0" encoding="utf-8"?>
<styleSheet xmlns="http://schemas.openxmlformats.org/spreadsheetml/2006/main">
  <numFmts count="4">
    <numFmt numFmtId="176" formatCode="0.00_ "/>
    <numFmt numFmtId="177" formatCode="#,##0.00_ "/>
    <numFmt numFmtId="178" formatCode="0_ "/>
    <numFmt numFmtId="179" formatCode="0.00_);[Red]\(0.00\)"/>
  </numFmts>
  <fonts count="39">
    <font>
      <sz val="11"/>
      <color theme="1"/>
      <name val="宋体"/>
      <charset val="134"/>
      <scheme val="minor"/>
    </font>
    <font>
      <sz val="12"/>
      <name val="宋体"/>
      <charset val="134"/>
    </font>
    <font>
      <sz val="12"/>
      <color theme="1"/>
      <name val="宋体"/>
      <charset val="134"/>
      <scheme val="minor"/>
    </font>
    <font>
      <sz val="10"/>
      <color theme="1"/>
      <name val="宋体"/>
      <charset val="134"/>
      <scheme val="minor"/>
    </font>
    <font>
      <b/>
      <sz val="10"/>
      <color theme="1"/>
      <name val="宋体"/>
      <charset val="134"/>
      <scheme val="minor"/>
    </font>
    <font>
      <b/>
      <sz val="12"/>
      <name val="宋体"/>
      <charset val="134"/>
    </font>
    <font>
      <sz val="10"/>
      <name val="宋体"/>
      <charset val="134"/>
      <scheme val="minor"/>
    </font>
    <font>
      <sz val="10"/>
      <name val="宋体"/>
      <charset val="134"/>
    </font>
    <font>
      <sz val="10"/>
      <color theme="1"/>
      <name val="宋体"/>
      <charset val="134"/>
    </font>
    <font>
      <sz val="10"/>
      <name val="宋体"/>
      <charset val="134"/>
    </font>
    <font>
      <sz val="10"/>
      <name val="Arial Narrow"/>
      <family val="2"/>
    </font>
    <font>
      <sz val="10"/>
      <color indexed="8"/>
      <name val="Arial Narrow"/>
      <family val="2"/>
    </font>
    <font>
      <sz val="10"/>
      <color rgb="FF000000"/>
      <name val="宋体"/>
      <family val="3"/>
      <charset val="134"/>
      <scheme val="minor"/>
    </font>
    <font>
      <sz val="10"/>
      <color rgb="FF000000"/>
      <name val="Times New Roman"/>
      <family val="1"/>
    </font>
    <font>
      <sz val="10"/>
      <color indexed="8"/>
      <name val="宋体"/>
      <family val="3"/>
      <charset val="134"/>
    </font>
    <font>
      <sz val="10"/>
      <name val="宋体"/>
      <family val="3"/>
      <charset val="134"/>
      <scheme val="minor"/>
    </font>
    <font>
      <sz val="10"/>
      <color rgb="FF000000"/>
      <name val="Arial Narrow"/>
      <family val="2"/>
    </font>
    <font>
      <sz val="10"/>
      <color rgb="FF000000"/>
      <name val="宋体"/>
      <family val="3"/>
      <charset val="134"/>
    </font>
    <font>
      <sz val="10"/>
      <color indexed="8"/>
      <name val="Times New Roman"/>
      <family val="1"/>
    </font>
    <font>
      <sz val="10"/>
      <color rgb="FF000000"/>
      <name val="smartSimSun"/>
      <family val="3"/>
      <charset val="134"/>
    </font>
    <font>
      <sz val="10"/>
      <name val="Arial Narrow"/>
      <family val="2"/>
    </font>
    <font>
      <sz val="10"/>
      <color indexed="8"/>
      <name val="Times New Roman"/>
      <family val="1"/>
    </font>
    <font>
      <sz val="12"/>
      <color rgb="FF000000"/>
      <name val="Arial Narrow"/>
      <family val="2"/>
    </font>
    <font>
      <sz val="10"/>
      <color rgb="FF000000"/>
      <name val="宋体"/>
      <family val="3"/>
      <charset val="134"/>
    </font>
    <font>
      <sz val="10"/>
      <color rgb="FF000000"/>
      <name val="Arial Narrow"/>
      <family val="2"/>
    </font>
    <font>
      <sz val="10"/>
      <color theme="1"/>
      <name val="宋体"/>
      <family val="3"/>
      <charset val="134"/>
      <scheme val="minor"/>
    </font>
    <font>
      <b/>
      <sz val="12"/>
      <color theme="1"/>
      <name val="宋体"/>
      <family val="3"/>
      <charset val="134"/>
      <scheme val="minor"/>
    </font>
    <font>
      <sz val="12"/>
      <name val="宋体"/>
      <family val="3"/>
      <charset val="134"/>
      <scheme val="minor"/>
    </font>
    <font>
      <sz val="12"/>
      <color rgb="FF000000"/>
      <name val="Arial Narrow"/>
      <family val="2"/>
    </font>
    <font>
      <sz val="12"/>
      <name val="Arial Narrow"/>
      <family val="2"/>
    </font>
    <font>
      <sz val="11"/>
      <color theme="1"/>
      <name val="宋体"/>
      <family val="3"/>
      <charset val="134"/>
      <scheme val="minor"/>
    </font>
    <font>
      <sz val="12"/>
      <color rgb="FF000000"/>
      <name val="宋体"/>
      <family val="3"/>
      <charset val="134"/>
    </font>
    <font>
      <sz val="10"/>
      <color rgb="FFFF0000"/>
      <name val="宋体"/>
      <family val="3"/>
      <charset val="134"/>
    </font>
    <font>
      <sz val="10"/>
      <color theme="1"/>
      <name val="宋体"/>
      <family val="3"/>
      <charset val="134"/>
    </font>
    <font>
      <sz val="12"/>
      <name val="宋体"/>
      <family val="3"/>
      <charset val="134"/>
    </font>
    <font>
      <sz val="10"/>
      <name val="宋体"/>
      <family val="3"/>
      <charset val="134"/>
    </font>
    <font>
      <sz val="9"/>
      <name val="宋体"/>
      <family val="3"/>
      <charset val="134"/>
      <scheme val="minor"/>
    </font>
    <font>
      <b/>
      <sz val="10"/>
      <color theme="1"/>
      <name val="宋体"/>
      <family val="3"/>
      <charset val="134"/>
      <scheme val="minor"/>
    </font>
    <font>
      <b/>
      <sz val="16"/>
      <color theme="1"/>
      <name val="宋体"/>
      <family val="3"/>
      <charset val="134"/>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807">
    <xf numFmtId="0" fontId="0" fillId="0" borderId="0">
      <alignment vertical="center"/>
    </xf>
    <xf numFmtId="0" fontId="30" fillId="0" borderId="0"/>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xf numFmtId="0" fontId="30" fillId="0" borderId="0">
      <alignment vertical="center"/>
    </xf>
    <xf numFmtId="0" fontId="30" fillId="0" borderId="0"/>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1" fillId="0" borderId="0">
      <alignment vertical="center"/>
    </xf>
    <xf numFmtId="0" fontId="30" fillId="0" borderId="0"/>
    <xf numFmtId="0" fontId="30" fillId="0" borderId="0">
      <alignment vertical="center"/>
    </xf>
    <xf numFmtId="0" fontId="30"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1" fillId="0" borderId="0">
      <alignment vertical="center"/>
    </xf>
    <xf numFmtId="0" fontId="30" fillId="0" borderId="0"/>
    <xf numFmtId="0" fontId="1" fillId="0" borderId="0">
      <alignment vertical="center"/>
    </xf>
    <xf numFmtId="0" fontId="30" fillId="0" borderId="0"/>
    <xf numFmtId="0" fontId="1" fillId="0" borderId="0">
      <alignment vertical="center"/>
    </xf>
    <xf numFmtId="0" fontId="30"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30" fillId="0" borderId="0"/>
    <xf numFmtId="0" fontId="30" fillId="0" borderId="0">
      <alignment vertical="center"/>
    </xf>
    <xf numFmtId="0" fontId="30" fillId="0" borderId="0"/>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0" fillId="0" borderId="0">
      <alignment vertical="center"/>
    </xf>
    <xf numFmtId="0" fontId="1" fillId="0" borderId="0"/>
    <xf numFmtId="0" fontId="30" fillId="0" borderId="0"/>
    <xf numFmtId="0" fontId="30" fillId="0" borderId="0">
      <alignment vertical="center"/>
    </xf>
    <xf numFmtId="0" fontId="1"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xf numFmtId="0" fontId="30" fillId="0" borderId="0">
      <alignment vertical="center"/>
    </xf>
    <xf numFmtId="0" fontId="1" fillId="0" borderId="0"/>
    <xf numFmtId="0" fontId="30" fillId="0" borderId="0">
      <alignment vertical="center"/>
    </xf>
    <xf numFmtId="0" fontId="1" fillId="0" borderId="0"/>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1" fillId="0" borderId="0">
      <alignment vertical="center"/>
    </xf>
    <xf numFmtId="0" fontId="30" fillId="0" borderId="0"/>
    <xf numFmtId="0" fontId="30" fillId="0" borderId="0">
      <alignment vertical="center"/>
    </xf>
    <xf numFmtId="0" fontId="30" fillId="0" borderId="0">
      <alignment vertical="center"/>
    </xf>
    <xf numFmtId="0" fontId="1" fillId="0" borderId="0">
      <alignment vertical="center"/>
    </xf>
    <xf numFmtId="0" fontId="1" fillId="0" borderId="0">
      <alignment vertical="center"/>
    </xf>
    <xf numFmtId="0" fontId="30" fillId="0" borderId="0"/>
    <xf numFmtId="0" fontId="1" fillId="0" borderId="0">
      <alignment vertical="center"/>
    </xf>
    <xf numFmtId="0" fontId="30" fillId="0" borderId="0"/>
    <xf numFmtId="0" fontId="1" fillId="0" borderId="0">
      <alignment vertical="center"/>
    </xf>
    <xf numFmtId="0" fontId="30" fillId="0" borderId="0">
      <alignment vertical="center"/>
    </xf>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1" fillId="0" borderId="0"/>
    <xf numFmtId="0" fontId="30" fillId="0" borderId="0">
      <alignment vertical="center"/>
    </xf>
    <xf numFmtId="0" fontId="30" fillId="0" borderId="0">
      <alignment vertical="center"/>
    </xf>
    <xf numFmtId="0" fontId="30" fillId="0" borderId="0">
      <alignment vertical="center"/>
    </xf>
    <xf numFmtId="0" fontId="1"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4"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4"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4" fillId="0" borderId="0">
      <alignment vertical="center"/>
    </xf>
    <xf numFmtId="0" fontId="34" fillId="0" borderId="0">
      <alignment vertical="center"/>
    </xf>
    <xf numFmtId="0" fontId="30" fillId="0" borderId="0">
      <alignment vertical="center"/>
    </xf>
    <xf numFmtId="0" fontId="30" fillId="0" borderId="0"/>
    <xf numFmtId="0" fontId="34" fillId="0" borderId="0">
      <alignment vertical="center"/>
    </xf>
    <xf numFmtId="0" fontId="34" fillId="0" borderId="0">
      <alignment vertical="center"/>
    </xf>
    <xf numFmtId="0" fontId="30" fillId="0" borderId="0">
      <alignment vertical="center"/>
    </xf>
    <xf numFmtId="0" fontId="30" fillId="0" borderId="0">
      <alignment vertical="center"/>
    </xf>
    <xf numFmtId="0" fontId="34" fillId="0" borderId="0">
      <alignment vertical="center"/>
    </xf>
    <xf numFmtId="0" fontId="30"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0" fillId="0" borderId="0"/>
    <xf numFmtId="0" fontId="30"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4" fillId="0" borderId="0"/>
    <xf numFmtId="0" fontId="30" fillId="0" borderId="0">
      <alignment vertical="center"/>
    </xf>
    <xf numFmtId="0" fontId="30" fillId="0" borderId="0"/>
    <xf numFmtId="0" fontId="30" fillId="0" borderId="0">
      <alignment vertical="center"/>
    </xf>
    <xf numFmtId="0" fontId="34" fillId="0" borderId="0"/>
    <xf numFmtId="0" fontId="30" fillId="0" borderId="0">
      <alignment vertical="center"/>
    </xf>
    <xf numFmtId="0" fontId="30" fillId="0" borderId="0">
      <alignment vertical="center"/>
    </xf>
    <xf numFmtId="0" fontId="30" fillId="0" borderId="0">
      <alignment vertical="center"/>
    </xf>
    <xf numFmtId="0" fontId="34" fillId="0" borderId="0">
      <alignment vertical="center"/>
    </xf>
    <xf numFmtId="0" fontId="34" fillId="0" borderId="0">
      <alignment vertical="center"/>
    </xf>
    <xf numFmtId="0" fontId="30" fillId="0" borderId="0"/>
    <xf numFmtId="0" fontId="30" fillId="0" borderId="0"/>
    <xf numFmtId="0" fontId="30" fillId="0" borderId="0"/>
    <xf numFmtId="0" fontId="30" fillId="0" borderId="0"/>
    <xf numFmtId="0" fontId="30"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cellStyleXfs>
  <cellXfs count="266">
    <xf numFmtId="0" fontId="0" fillId="0" borderId="0" xfId="0">
      <alignment vertical="center"/>
    </xf>
    <xf numFmtId="0" fontId="3"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3" fillId="2" borderId="6" xfId="0" applyFont="1" applyFill="1" applyBorder="1" applyAlignment="1">
      <alignment horizontal="center" vertical="center" wrapText="1"/>
    </xf>
    <xf numFmtId="178" fontId="4" fillId="2" borderId="6"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15" fillId="2" borderId="0" xfId="0" applyFont="1" applyFill="1">
      <alignment vertical="center"/>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178" fontId="5" fillId="2" borderId="1" xfId="3" applyNumberFormat="1" applyFont="1" applyFill="1" applyBorder="1" applyAlignment="1">
      <alignment horizontal="center" vertical="center" wrapText="1"/>
    </xf>
    <xf numFmtId="0" fontId="1" fillId="2" borderId="1" xfId="3" applyFont="1" applyFill="1" applyBorder="1" applyAlignment="1">
      <alignment horizontal="center" vertical="center" wrapText="1"/>
    </xf>
    <xf numFmtId="178" fontId="1" fillId="2" borderId="1" xfId="3" applyNumberFormat="1" applyFont="1" applyFill="1" applyBorder="1" applyAlignment="1">
      <alignment horizontal="center" vertical="center" wrapText="1"/>
    </xf>
    <xf numFmtId="0" fontId="1" fillId="2" borderId="1" xfId="3" applyFont="1" applyFill="1" applyBorder="1" applyAlignment="1">
      <alignment horizontal="left" vertical="center" wrapText="1"/>
    </xf>
    <xf numFmtId="49" fontId="6" fillId="2" borderId="4" xfId="3" applyNumberFormat="1" applyFont="1" applyFill="1" applyBorder="1" applyAlignment="1">
      <alignment horizontal="center" vertical="center" wrapText="1"/>
    </xf>
    <xf numFmtId="0" fontId="7" fillId="2" borderId="1" xfId="3" applyFont="1" applyFill="1" applyBorder="1" applyAlignment="1">
      <alignment horizontal="left" vertical="center" wrapText="1" shrinkToFit="1"/>
    </xf>
    <xf numFmtId="0" fontId="7" fillId="2" borderId="1" xfId="3" applyFont="1" applyFill="1" applyBorder="1" applyAlignment="1">
      <alignment horizontal="center" vertical="center" wrapText="1" shrinkToFit="1"/>
    </xf>
    <xf numFmtId="0" fontId="6" fillId="2" borderId="1" xfId="3" applyFont="1" applyFill="1" applyBorder="1" applyAlignment="1">
      <alignment horizontal="center" vertical="center"/>
    </xf>
    <xf numFmtId="178" fontId="7" fillId="2" borderId="1" xfId="3" applyNumberFormat="1" applyFont="1" applyFill="1" applyBorder="1" applyAlignment="1">
      <alignment horizontal="center" vertical="center" wrapText="1"/>
    </xf>
    <xf numFmtId="178" fontId="6" fillId="2" borderId="1" xfId="3" applyNumberFormat="1" applyFont="1" applyFill="1" applyBorder="1" applyAlignment="1">
      <alignment horizontal="center" vertical="center"/>
    </xf>
    <xf numFmtId="0" fontId="8" fillId="2" borderId="1" xfId="412" applyFont="1" applyFill="1" applyBorder="1" applyAlignment="1">
      <alignment horizontal="left" vertical="center" wrapText="1"/>
    </xf>
    <xf numFmtId="0" fontId="3" fillId="2" borderId="1" xfId="0" applyFont="1" applyFill="1" applyBorder="1" applyAlignment="1">
      <alignment horizontal="left" vertical="center" wrapText="1"/>
    </xf>
    <xf numFmtId="49" fontId="3" fillId="2" borderId="4"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0" fontId="7" fillId="2" borderId="1" xfId="48" applyFont="1" applyFill="1" applyBorder="1" applyAlignment="1">
      <alignment horizontal="left" vertical="center" wrapText="1"/>
    </xf>
    <xf numFmtId="0" fontId="35" fillId="2" borderId="1" xfId="48" applyFont="1" applyFill="1" applyBorder="1" applyAlignment="1">
      <alignment horizontal="left" vertical="center" wrapText="1"/>
    </xf>
    <xf numFmtId="49" fontId="9" fillId="2" borderId="4" xfId="0" applyNumberFormat="1" applyFont="1" applyFill="1" applyBorder="1" applyAlignment="1">
      <alignment horizontal="center" vertical="center" wrapText="1"/>
    </xf>
    <xf numFmtId="0" fontId="0" fillId="2" borderId="0" xfId="0" applyFill="1" applyAlignment="1">
      <alignment vertical="center" wrapText="1"/>
    </xf>
    <xf numFmtId="0" fontId="3" fillId="2" borderId="1" xfId="370" applyFont="1" applyFill="1" applyBorder="1" applyAlignment="1">
      <alignment horizontal="left" vertical="center" wrapText="1"/>
    </xf>
    <xf numFmtId="0" fontId="7" fillId="2" borderId="1" xfId="3" applyFont="1" applyFill="1" applyBorder="1" applyAlignment="1">
      <alignment horizontal="left" vertical="center" wrapText="1"/>
    </xf>
    <xf numFmtId="49" fontId="7" fillId="2" borderId="4" xfId="0" applyNumberFormat="1" applyFont="1" applyFill="1" applyBorder="1" applyAlignment="1">
      <alignment horizontal="center" vertical="center"/>
    </xf>
    <xf numFmtId="0" fontId="7" fillId="2" borderId="1" xfId="0" applyFont="1" applyFill="1" applyBorder="1" applyAlignment="1">
      <alignment horizontal="center" vertical="center"/>
    </xf>
    <xf numFmtId="178" fontId="7"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178" fontId="11" fillId="2" borderId="1" xfId="197" applyNumberFormat="1" applyFont="1" applyFill="1" applyBorder="1" applyAlignment="1" applyProtection="1">
      <alignment horizontal="left" vertical="center" wrapText="1"/>
      <protection locked="0"/>
    </xf>
    <xf numFmtId="0" fontId="12" fillId="2" borderId="1" xfId="197" applyFont="1" applyFill="1" applyBorder="1" applyAlignment="1">
      <alignment horizontal="left" vertical="center" wrapText="1"/>
    </xf>
    <xf numFmtId="0" fontId="13" fillId="2" borderId="1" xfId="197" applyFont="1" applyFill="1" applyBorder="1" applyAlignment="1">
      <alignment horizontal="left" vertical="center" wrapText="1"/>
    </xf>
    <xf numFmtId="0" fontId="3" fillId="2" borderId="1" xfId="0" applyFont="1" applyFill="1" applyBorder="1" applyAlignment="1">
      <alignment horizontal="center" vertical="center"/>
    </xf>
    <xf numFmtId="178" fontId="11" fillId="2" borderId="1" xfId="57" applyNumberFormat="1" applyFont="1" applyFill="1" applyBorder="1" applyAlignment="1" applyProtection="1">
      <alignment horizontal="left" vertical="center" wrapText="1"/>
      <protection locked="0"/>
    </xf>
    <xf numFmtId="178" fontId="14" fillId="2" borderId="1" xfId="57" applyNumberFormat="1" applyFont="1" applyFill="1" applyBorder="1" applyAlignment="1" applyProtection="1">
      <alignment horizontal="left" vertical="center" wrapText="1"/>
      <protection locked="0"/>
    </xf>
    <xf numFmtId="0" fontId="8" fillId="2" borderId="1" xfId="251" applyFont="1" applyFill="1" applyBorder="1" applyAlignment="1">
      <alignment horizontal="left" vertical="center" wrapText="1"/>
    </xf>
    <xf numFmtId="0" fontId="25" fillId="2" borderId="1" xfId="370" applyFont="1" applyFill="1" applyBorder="1" applyAlignment="1">
      <alignment horizontal="left" vertical="center" wrapText="1"/>
    </xf>
    <xf numFmtId="178" fontId="11" fillId="2" borderId="1" xfId="195"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xf>
    <xf numFmtId="49" fontId="7" fillId="2" borderId="4" xfId="370" applyNumberFormat="1" applyFont="1" applyFill="1" applyBorder="1" applyAlignment="1">
      <alignment horizontal="center" vertical="center" wrapText="1"/>
    </xf>
    <xf numFmtId="0" fontId="7" fillId="2" borderId="1" xfId="370" applyFont="1" applyFill="1" applyBorder="1" applyAlignment="1">
      <alignment horizontal="left" vertical="center" wrapText="1"/>
    </xf>
    <xf numFmtId="0" fontId="7" fillId="2" borderId="1" xfId="370" applyFont="1" applyFill="1" applyBorder="1" applyAlignment="1">
      <alignment horizontal="center" vertical="center" wrapText="1"/>
    </xf>
    <xf numFmtId="0" fontId="25" fillId="2" borderId="1" xfId="0" applyFont="1" applyFill="1" applyBorder="1" applyAlignment="1">
      <alignment horizontal="left" vertical="center" wrapText="1"/>
    </xf>
    <xf numFmtId="49" fontId="15" fillId="2" borderId="4"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9" fontId="16" fillId="2" borderId="4" xfId="0" applyNumberFormat="1" applyFont="1" applyFill="1" applyBorder="1" applyAlignment="1">
      <alignment horizontal="center" vertical="center" shrinkToFit="1"/>
    </xf>
    <xf numFmtId="0" fontId="17" fillId="2" borderId="1" xfId="0" applyFont="1" applyFill="1" applyBorder="1" applyAlignment="1">
      <alignment horizontal="left" vertical="center" wrapText="1" shrinkToFit="1"/>
    </xf>
    <xf numFmtId="0" fontId="16" fillId="2" borderId="1" xfId="0" applyFont="1" applyFill="1" applyBorder="1" applyAlignment="1">
      <alignment horizontal="center" vertical="center" shrinkToFit="1"/>
    </xf>
    <xf numFmtId="179" fontId="8" fillId="2" borderId="1" xfId="0" applyNumberFormat="1" applyFont="1" applyFill="1" applyBorder="1" applyAlignment="1">
      <alignment horizontal="left" vertical="center" wrapText="1"/>
    </xf>
    <xf numFmtId="0" fontId="8" fillId="2" borderId="1" xfId="409" applyFont="1" applyFill="1" applyBorder="1" applyAlignment="1">
      <alignment horizontal="left" vertical="center" wrapText="1"/>
    </xf>
    <xf numFmtId="179" fontId="8" fillId="2" borderId="1" xfId="262" applyNumberFormat="1" applyFont="1" applyFill="1" applyBorder="1" applyAlignment="1">
      <alignment horizontal="left" vertical="center" wrapText="1"/>
    </xf>
    <xf numFmtId="0" fontId="16" fillId="2" borderId="1" xfId="0" applyFont="1" applyFill="1" applyBorder="1" applyAlignment="1">
      <alignment horizontal="left" vertical="center" wrapText="1" shrinkToFit="1"/>
    </xf>
    <xf numFmtId="0" fontId="8" fillId="2" borderId="1" xfId="34" applyFont="1" applyFill="1" applyBorder="1" applyAlignment="1">
      <alignment horizontal="left" vertical="center" wrapText="1"/>
    </xf>
    <xf numFmtId="179" fontId="8" fillId="2" borderId="1" xfId="34" applyNumberFormat="1" applyFont="1" applyFill="1" applyBorder="1" applyAlignment="1">
      <alignment horizontal="left" vertical="center" wrapText="1"/>
    </xf>
    <xf numFmtId="0" fontId="18" fillId="2" borderId="1" xfId="229" applyFont="1" applyFill="1" applyBorder="1" applyAlignment="1">
      <alignment horizontal="left" vertical="center" wrapText="1"/>
    </xf>
    <xf numFmtId="179" fontId="33" fillId="2" borderId="1" xfId="233" applyNumberFormat="1" applyFont="1" applyFill="1" applyBorder="1" applyAlignment="1">
      <alignment horizontal="left" vertical="center" wrapText="1"/>
    </xf>
    <xf numFmtId="0" fontId="8" fillId="2" borderId="1" xfId="288" applyFont="1" applyFill="1" applyBorder="1" applyAlignment="1">
      <alignment horizontal="left" vertical="center" wrapText="1"/>
    </xf>
    <xf numFmtId="0" fontId="33" fillId="2" borderId="1" xfId="288" applyFont="1" applyFill="1" applyBorder="1" applyAlignment="1">
      <alignment horizontal="left" vertical="center" wrapText="1"/>
    </xf>
    <xf numFmtId="0" fontId="8" fillId="2" borderId="1" xfId="349" applyFont="1" applyFill="1" applyBorder="1" applyAlignment="1">
      <alignment horizontal="left" vertical="center" wrapText="1"/>
    </xf>
    <xf numFmtId="0" fontId="33" fillId="2" borderId="1" xfId="349" applyFont="1" applyFill="1" applyBorder="1" applyAlignment="1">
      <alignment horizontal="left" vertical="center" wrapText="1"/>
    </xf>
    <xf numFmtId="0" fontId="19" fillId="2" borderId="1" xfId="0" applyFont="1" applyFill="1" applyBorder="1" applyAlignment="1">
      <alignment horizontal="left" vertical="center" wrapText="1" shrinkToFit="1"/>
    </xf>
    <xf numFmtId="179" fontId="8" fillId="2" borderId="1" xfId="50" applyNumberFormat="1" applyFont="1" applyFill="1" applyBorder="1" applyAlignment="1">
      <alignment horizontal="left" vertical="center" wrapText="1"/>
    </xf>
    <xf numFmtId="0" fontId="8" fillId="2" borderId="1" xfId="353" applyFont="1" applyFill="1" applyBorder="1" applyAlignment="1">
      <alignment horizontal="left" vertical="center" wrapText="1"/>
    </xf>
    <xf numFmtId="0" fontId="33" fillId="2" borderId="1" xfId="353" applyFont="1" applyFill="1" applyBorder="1" applyAlignment="1">
      <alignment horizontal="left" vertical="center" wrapText="1"/>
    </xf>
    <xf numFmtId="49" fontId="10" fillId="2" borderId="4" xfId="0" applyNumberFormat="1" applyFont="1" applyFill="1" applyBorder="1" applyAlignment="1">
      <alignment horizontal="center" vertical="center" shrinkToFit="1"/>
    </xf>
    <xf numFmtId="0" fontId="10" fillId="2" borderId="1" xfId="370" applyFont="1" applyFill="1" applyBorder="1" applyAlignment="1">
      <alignment horizontal="center" vertical="center" shrinkToFit="1"/>
    </xf>
    <xf numFmtId="0" fontId="15" fillId="2" borderId="1" xfId="370" applyFont="1" applyFill="1" applyBorder="1" applyAlignment="1">
      <alignment horizontal="center" vertical="center"/>
    </xf>
    <xf numFmtId="0" fontId="8" fillId="2" borderId="1" xfId="48" applyFont="1" applyFill="1" applyBorder="1" applyAlignment="1">
      <alignment horizontal="left" vertical="center" wrapText="1"/>
    </xf>
    <xf numFmtId="0" fontId="9" fillId="2" borderId="1" xfId="0" applyFont="1" applyFill="1" applyBorder="1" applyAlignment="1">
      <alignment horizontal="left" vertical="center" wrapText="1" shrinkToFit="1"/>
    </xf>
    <xf numFmtId="0" fontId="10" fillId="2" borderId="1" xfId="0" applyFont="1" applyFill="1" applyBorder="1" applyAlignment="1">
      <alignment horizontal="center" vertical="center" shrinkToFit="1"/>
    </xf>
    <xf numFmtId="0" fontId="15" fillId="2" borderId="1" xfId="0" applyFont="1" applyFill="1" applyBorder="1" applyAlignment="1">
      <alignment horizontal="center" vertical="center"/>
    </xf>
    <xf numFmtId="0" fontId="7" fillId="2" borderId="1" xfId="0" applyFont="1" applyFill="1" applyBorder="1" applyAlignment="1">
      <alignment horizontal="left" vertical="center" wrapText="1" shrinkToFit="1"/>
    </xf>
    <xf numFmtId="0" fontId="8" fillId="2" borderId="1" xfId="410" applyFont="1" applyFill="1" applyBorder="1" applyAlignment="1">
      <alignment horizontal="left" vertical="center" wrapText="1"/>
    </xf>
    <xf numFmtId="179" fontId="8" fillId="2" borderId="1" xfId="48" applyNumberFormat="1" applyFont="1" applyFill="1" applyBorder="1" applyAlignment="1">
      <alignment horizontal="left" vertical="center" wrapText="1"/>
    </xf>
    <xf numFmtId="0" fontId="8" fillId="2" borderId="1" xfId="351" applyFont="1" applyFill="1" applyBorder="1" applyAlignment="1">
      <alignment horizontal="left" vertical="center" wrapText="1"/>
    </xf>
    <xf numFmtId="0" fontId="33" fillId="2" borderId="1" xfId="351" applyFont="1" applyFill="1" applyBorder="1" applyAlignment="1">
      <alignment horizontal="left" vertical="center" wrapText="1"/>
    </xf>
    <xf numFmtId="0" fontId="8" fillId="2" borderId="1" xfId="355" applyFont="1" applyFill="1" applyBorder="1" applyAlignment="1">
      <alignment horizontal="left" vertical="center" wrapText="1"/>
    </xf>
    <xf numFmtId="0" fontId="33" fillId="2" borderId="1" xfId="355" applyFont="1" applyFill="1" applyBorder="1" applyAlignment="1">
      <alignment horizontal="left" vertical="center" wrapText="1"/>
    </xf>
    <xf numFmtId="179" fontId="7" fillId="2" borderId="1" xfId="0" applyNumberFormat="1" applyFont="1" applyFill="1" applyBorder="1" applyAlignment="1">
      <alignment horizontal="left" vertical="center" wrapText="1"/>
    </xf>
    <xf numFmtId="49" fontId="20" fillId="2" borderId="4" xfId="0" applyNumberFormat="1"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7" fillId="2" borderId="1" xfId="370" applyFont="1" applyFill="1" applyBorder="1" applyAlignment="1">
      <alignment horizontal="left" vertical="center" wrapText="1" shrinkToFit="1"/>
    </xf>
    <xf numFmtId="0" fontId="20" fillId="2" borderId="1" xfId="370" applyFont="1" applyFill="1" applyBorder="1" applyAlignment="1">
      <alignment horizontal="center" vertical="center" shrinkToFit="1"/>
    </xf>
    <xf numFmtId="0" fontId="6" fillId="2" borderId="1" xfId="370" applyFont="1" applyFill="1" applyBorder="1" applyAlignment="1">
      <alignment horizontal="center" vertical="center"/>
    </xf>
    <xf numFmtId="0" fontId="21" fillId="2" borderId="1" xfId="229" applyFont="1" applyFill="1" applyBorder="1" applyAlignment="1">
      <alignment horizontal="left" vertical="center" wrapText="1"/>
    </xf>
    <xf numFmtId="49" fontId="22" fillId="2" borderId="4" xfId="0" applyNumberFormat="1" applyFont="1" applyFill="1" applyBorder="1" applyAlignment="1">
      <alignment horizontal="center" vertical="center" shrinkToFit="1"/>
    </xf>
    <xf numFmtId="0" fontId="23" fillId="2" borderId="1" xfId="0" applyFont="1" applyFill="1" applyBorder="1" applyAlignment="1">
      <alignment horizontal="left" vertical="center" wrapText="1" shrinkToFit="1"/>
    </xf>
    <xf numFmtId="0" fontId="24" fillId="2" borderId="1" xfId="0" applyFont="1" applyFill="1" applyBorder="1" applyAlignment="1">
      <alignment horizontal="center" vertical="center" shrinkToFit="1"/>
    </xf>
    <xf numFmtId="49" fontId="20" fillId="2" borderId="4" xfId="370" applyNumberFormat="1" applyFont="1" applyFill="1" applyBorder="1" applyAlignment="1">
      <alignment horizontal="center" vertical="center" shrinkToFit="1"/>
    </xf>
    <xf numFmtId="0" fontId="6" fillId="2" borderId="1" xfId="0" applyFont="1" applyFill="1" applyBorder="1" applyAlignment="1">
      <alignment horizontal="left" vertical="center" wrapText="1"/>
    </xf>
    <xf numFmtId="0" fontId="7" fillId="2" borderId="1" xfId="370" applyFont="1" applyFill="1" applyBorder="1" applyAlignment="1">
      <alignment horizontal="right" vertical="center" wrapText="1"/>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6" fillId="2" borderId="2"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34" fillId="2" borderId="4" xfId="0" applyNumberFormat="1" applyFont="1" applyFill="1" applyBorder="1" applyAlignment="1">
      <alignment horizontal="center" vertical="center" wrapText="1"/>
    </xf>
    <xf numFmtId="0" fontId="35" fillId="2" borderId="1" xfId="0" applyFont="1" applyFill="1" applyBorder="1" applyAlignment="1">
      <alignment horizontal="left" vertical="center" wrapText="1"/>
    </xf>
    <xf numFmtId="0" fontId="35" fillId="2" borderId="1" xfId="0" applyFont="1" applyFill="1" applyBorder="1" applyAlignment="1">
      <alignment horizontal="center" vertical="center"/>
    </xf>
    <xf numFmtId="178" fontId="35" fillId="2" borderId="1" xfId="0" applyNumberFormat="1" applyFont="1" applyFill="1" applyBorder="1" applyAlignment="1">
      <alignment horizontal="center" vertical="center" wrapText="1"/>
    </xf>
    <xf numFmtId="177" fontId="15" fillId="2" borderId="1"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49" fontId="1" fillId="2" borderId="4" xfId="370" applyNumberFormat="1" applyFont="1" applyFill="1" applyBorder="1" applyAlignment="1">
      <alignment horizontal="center" vertical="center" wrapText="1"/>
    </xf>
    <xf numFmtId="49" fontId="27" fillId="2" borderId="4" xfId="0" applyNumberFormat="1" applyFont="1" applyFill="1" applyBorder="1" applyAlignment="1">
      <alignment horizontal="center" vertical="center" wrapText="1"/>
    </xf>
    <xf numFmtId="49" fontId="28" fillId="2" borderId="4" xfId="0" applyNumberFormat="1" applyFont="1" applyFill="1" applyBorder="1" applyAlignment="1">
      <alignment horizontal="center" vertical="center" shrinkToFit="1"/>
    </xf>
    <xf numFmtId="49" fontId="29" fillId="2" borderId="4" xfId="0" applyNumberFormat="1" applyFont="1" applyFill="1" applyBorder="1" applyAlignment="1">
      <alignment horizontal="center" vertical="center" shrinkToFit="1"/>
    </xf>
    <xf numFmtId="0" fontId="6" fillId="2" borderId="1" xfId="370" applyFont="1" applyFill="1" applyBorder="1" applyAlignment="1">
      <alignment horizontal="center" vertical="center" wrapText="1"/>
    </xf>
    <xf numFmtId="49" fontId="2" fillId="2" borderId="0" xfId="0" applyNumberFormat="1" applyFont="1" applyFill="1" applyAlignment="1">
      <alignment horizontal="center" vertical="center"/>
    </xf>
    <xf numFmtId="0" fontId="8" fillId="2" borderId="1" xfId="0" applyFont="1" applyFill="1" applyBorder="1" applyAlignment="1">
      <alignment horizontal="center" vertical="center" wrapText="1"/>
    </xf>
    <xf numFmtId="0" fontId="35" fillId="2" borderId="1" xfId="370" applyFont="1" applyFill="1" applyBorder="1" applyAlignment="1">
      <alignment horizontal="left" vertical="center" wrapText="1"/>
    </xf>
    <xf numFmtId="179" fontId="33" fillId="2" borderId="1" xfId="34" applyNumberFormat="1" applyFont="1" applyFill="1" applyBorder="1" applyAlignment="1">
      <alignment horizontal="left" vertical="center" wrapText="1"/>
    </xf>
    <xf numFmtId="179" fontId="33" fillId="2" borderId="1" xfId="48" applyNumberFormat="1" applyFont="1" applyFill="1" applyBorder="1" applyAlignment="1">
      <alignment horizontal="left" vertical="center" wrapText="1"/>
    </xf>
    <xf numFmtId="49" fontId="3" fillId="2" borderId="7"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5" fillId="2" borderId="4" xfId="3" applyNumberFormat="1" applyFont="1" applyFill="1" applyBorder="1" applyAlignment="1">
      <alignment horizontal="center" vertical="center" wrapText="1"/>
    </xf>
    <xf numFmtId="0" fontId="5" fillId="2" borderId="1" xfId="3" applyFont="1" applyFill="1" applyBorder="1" applyAlignment="1">
      <alignment horizontal="center" vertical="center" wrapText="1"/>
    </xf>
    <xf numFmtId="178" fontId="10" fillId="2" borderId="1" xfId="147" applyNumberFormat="1" applyFont="1" applyFill="1" applyBorder="1" applyAlignment="1" applyProtection="1">
      <alignment horizontal="left" vertical="center" wrapText="1"/>
      <protection locked="0"/>
    </xf>
    <xf numFmtId="178" fontId="11" fillId="2" borderId="1" xfId="147" applyNumberFormat="1" applyFont="1" applyFill="1" applyBorder="1" applyAlignment="1" applyProtection="1">
      <alignment horizontal="left" vertical="center" wrapText="1"/>
      <protection locked="0"/>
    </xf>
    <xf numFmtId="0" fontId="18" fillId="2" borderId="12" xfId="229" applyFont="1" applyFill="1" applyBorder="1" applyAlignment="1">
      <alignment horizontal="left" vertical="center" wrapText="1"/>
    </xf>
    <xf numFmtId="0" fontId="5" fillId="2" borderId="12" xfId="3" applyFont="1" applyFill="1" applyBorder="1" applyAlignment="1">
      <alignment horizontal="center" vertical="center" wrapText="1"/>
    </xf>
    <xf numFmtId="178" fontId="4" fillId="2" borderId="24" xfId="0" applyNumberFormat="1" applyFont="1" applyFill="1" applyBorder="1" applyAlignment="1">
      <alignment horizontal="center" vertical="center" wrapText="1"/>
    </xf>
    <xf numFmtId="178" fontId="11" fillId="2" borderId="20" xfId="147" applyNumberFormat="1" applyFont="1" applyFill="1" applyBorder="1" applyAlignment="1" applyProtection="1">
      <alignment horizontal="left" vertical="center" wrapText="1"/>
      <protection locked="0"/>
    </xf>
    <xf numFmtId="179" fontId="8" fillId="2" borderId="20" xfId="0" applyNumberFormat="1" applyFont="1" applyFill="1" applyBorder="1" applyAlignment="1">
      <alignment horizontal="left" vertical="center" wrapText="1"/>
    </xf>
    <xf numFmtId="0" fontId="8" fillId="2" borderId="12" xfId="288" applyFont="1" applyFill="1" applyBorder="1" applyAlignment="1">
      <alignment horizontal="left" vertical="center" wrapText="1"/>
    </xf>
    <xf numFmtId="0" fontId="3" fillId="2" borderId="12" xfId="370" applyFont="1" applyFill="1" applyBorder="1" applyAlignment="1">
      <alignment horizontal="left" vertical="center" wrapText="1"/>
    </xf>
    <xf numFmtId="0" fontId="7" fillId="2" borderId="12" xfId="48" applyFont="1" applyFill="1" applyBorder="1" applyAlignment="1">
      <alignment horizontal="left" vertical="center" wrapText="1"/>
    </xf>
    <xf numFmtId="0" fontId="7" fillId="2"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178" fontId="6" fillId="2" borderId="12" xfId="3" applyNumberFormat="1" applyFont="1" applyFill="1" applyBorder="1" applyAlignment="1">
      <alignment horizontal="center" vertical="center"/>
    </xf>
    <xf numFmtId="0" fontId="6" fillId="2" borderId="12" xfId="370" applyFont="1" applyFill="1" applyBorder="1" applyAlignment="1">
      <alignment horizontal="center" vertical="center"/>
    </xf>
    <xf numFmtId="0" fontId="20" fillId="2" borderId="12" xfId="370" applyFont="1" applyFill="1" applyBorder="1" applyAlignment="1">
      <alignment horizontal="center" vertical="center" shrinkToFit="1"/>
    </xf>
    <xf numFmtId="0" fontId="7" fillId="2" borderId="12" xfId="370" applyFont="1" applyFill="1" applyBorder="1" applyAlignment="1">
      <alignment horizontal="left" vertical="center" wrapText="1" shrinkToFit="1"/>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179" fontId="7" fillId="2" borderId="20" xfId="0" applyNumberFormat="1" applyFont="1" applyFill="1" applyBorder="1" applyAlignment="1">
      <alignment horizontal="left" vertical="center" wrapText="1"/>
    </xf>
    <xf numFmtId="0" fontId="8" fillId="2" borderId="12" xfId="355" applyFont="1" applyFill="1" applyBorder="1" applyAlignment="1">
      <alignment horizontal="left" vertical="center" wrapText="1"/>
    </xf>
    <xf numFmtId="0" fontId="15"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3" fillId="2" borderId="23"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21" xfId="0" applyNumberFormat="1" applyFont="1" applyFill="1" applyBorder="1" applyAlignment="1">
      <alignment horizontal="center" vertical="center"/>
    </xf>
    <xf numFmtId="0" fontId="6" fillId="2" borderId="12" xfId="0" applyFont="1" applyFill="1" applyBorder="1" applyAlignment="1">
      <alignment horizontal="left" vertical="center" wrapText="1"/>
    </xf>
    <xf numFmtId="0" fontId="8" fillId="2" borderId="20" xfId="288" applyFont="1" applyFill="1" applyBorder="1" applyAlignment="1">
      <alignment horizontal="left" vertical="center" wrapText="1"/>
    </xf>
    <xf numFmtId="0" fontId="7" fillId="2" borderId="12" xfId="370" applyFont="1" applyFill="1" applyBorder="1" applyAlignment="1">
      <alignment horizontal="left" vertical="center" wrapText="1"/>
    </xf>
    <xf numFmtId="49" fontId="20" fillId="2" borderId="19" xfId="370" applyNumberFormat="1"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23" fillId="2" borderId="12" xfId="0" applyFont="1" applyFill="1" applyBorder="1" applyAlignment="1">
      <alignment horizontal="center" vertical="center" wrapText="1" shrinkToFit="1"/>
    </xf>
    <xf numFmtId="49" fontId="22" fillId="2" borderId="19" xfId="0" applyNumberFormat="1" applyFont="1" applyFill="1" applyBorder="1" applyAlignment="1">
      <alignment horizontal="center" vertical="center" shrinkToFit="1"/>
    </xf>
    <xf numFmtId="0" fontId="21" fillId="2" borderId="12" xfId="229" applyFont="1" applyFill="1" applyBorder="1" applyAlignment="1">
      <alignment horizontal="left" vertical="center" wrapText="1"/>
    </xf>
    <xf numFmtId="0" fontId="20" fillId="2" borderId="12" xfId="0" applyFont="1" applyFill="1" applyBorder="1" applyAlignment="1">
      <alignment horizontal="center" vertical="center" shrinkToFit="1"/>
    </xf>
    <xf numFmtId="49" fontId="20" fillId="2" borderId="19" xfId="0" applyNumberFormat="1" applyFont="1" applyFill="1" applyBorder="1" applyAlignment="1">
      <alignment horizontal="center" vertical="center" shrinkToFit="1"/>
    </xf>
    <xf numFmtId="0" fontId="33" fillId="2" borderId="20" xfId="355" applyFont="1" applyFill="1" applyBorder="1" applyAlignment="1">
      <alignment horizontal="left" vertical="center" wrapText="1"/>
    </xf>
    <xf numFmtId="0" fontId="33" fillId="2" borderId="20" xfId="351" applyFont="1" applyFill="1" applyBorder="1" applyAlignment="1">
      <alignment horizontal="left" vertical="center" wrapText="1"/>
    </xf>
    <xf numFmtId="0" fontId="8" fillId="2" borderId="12" xfId="351" applyFont="1" applyFill="1" applyBorder="1" applyAlignment="1">
      <alignment horizontal="left" vertical="center" wrapText="1"/>
    </xf>
    <xf numFmtId="0" fontId="7" fillId="2" borderId="12" xfId="0" applyFont="1" applyFill="1" applyBorder="1" applyAlignment="1">
      <alignment horizontal="center" vertical="center" wrapText="1" shrinkToFit="1"/>
    </xf>
    <xf numFmtId="179" fontId="8" fillId="2" borderId="20" xfId="48" applyNumberFormat="1" applyFont="1" applyFill="1" applyBorder="1" applyAlignment="1">
      <alignment horizontal="left" vertical="center" wrapText="1"/>
    </xf>
    <xf numFmtId="0" fontId="8" fillId="2" borderId="12" xfId="410" applyFont="1" applyFill="1" applyBorder="1" applyAlignment="1">
      <alignment horizontal="left" vertical="center" wrapText="1"/>
    </xf>
    <xf numFmtId="0" fontId="7" fillId="2" borderId="12" xfId="0" applyFont="1" applyFill="1" applyBorder="1" applyAlignment="1">
      <alignment horizontal="left" vertical="center" wrapText="1" shrinkToFit="1"/>
    </xf>
    <xf numFmtId="0" fontId="15" fillId="2" borderId="12" xfId="0" applyFont="1" applyFill="1" applyBorder="1" applyAlignment="1">
      <alignment horizontal="center" vertical="center"/>
    </xf>
    <xf numFmtId="0" fontId="10" fillId="2" borderId="12" xfId="0" applyFont="1" applyFill="1" applyBorder="1" applyAlignment="1">
      <alignment horizontal="center" vertical="center" shrinkToFit="1"/>
    </xf>
    <xf numFmtId="0" fontId="9" fillId="2" borderId="12" xfId="0" applyFont="1" applyFill="1" applyBorder="1" applyAlignment="1">
      <alignment horizontal="left" vertical="center" wrapText="1" shrinkToFit="1"/>
    </xf>
    <xf numFmtId="0" fontId="17" fillId="2" borderId="12" xfId="0" applyFont="1" applyFill="1" applyBorder="1" applyAlignment="1">
      <alignment horizontal="left" vertical="center" wrapText="1" shrinkToFit="1"/>
    </xf>
    <xf numFmtId="0" fontId="8" fillId="2" borderId="12" xfId="48" applyFont="1" applyFill="1" applyBorder="1" applyAlignment="1">
      <alignment horizontal="left" vertical="center" wrapText="1"/>
    </xf>
    <xf numFmtId="0" fontId="15" fillId="2" borderId="12" xfId="370" applyFont="1" applyFill="1" applyBorder="1" applyAlignment="1">
      <alignment horizontal="center" vertical="center"/>
    </xf>
    <xf numFmtId="0" fontId="10" fillId="2" borderId="12" xfId="370" applyFont="1" applyFill="1" applyBorder="1" applyAlignment="1">
      <alignment horizontal="center" vertical="center" shrinkToFit="1"/>
    </xf>
    <xf numFmtId="49" fontId="10" fillId="2" borderId="19" xfId="0" applyNumberFormat="1" applyFont="1" applyFill="1" applyBorder="1" applyAlignment="1">
      <alignment horizontal="center" vertical="center" shrinkToFit="1"/>
    </xf>
    <xf numFmtId="0" fontId="33" fillId="2" borderId="20" xfId="353" applyFont="1" applyFill="1" applyBorder="1" applyAlignment="1">
      <alignment horizontal="left" vertical="center" wrapText="1"/>
    </xf>
    <xf numFmtId="0" fontId="8" fillId="2" borderId="12" xfId="353" applyFont="1" applyFill="1" applyBorder="1" applyAlignment="1">
      <alignment horizontal="left" vertical="center" wrapText="1"/>
    </xf>
    <xf numFmtId="179" fontId="8" fillId="2" borderId="20" xfId="50" applyNumberFormat="1" applyFont="1" applyFill="1" applyBorder="1" applyAlignment="1">
      <alignment horizontal="left" vertical="center" wrapText="1"/>
    </xf>
    <xf numFmtId="0" fontId="19" fillId="2" borderId="12" xfId="0" applyFont="1" applyFill="1" applyBorder="1" applyAlignment="1">
      <alignment horizontal="center" vertical="center" wrapText="1" shrinkToFit="1"/>
    </xf>
    <xf numFmtId="0" fontId="33" fillId="2" borderId="20" xfId="349" applyFont="1" applyFill="1" applyBorder="1" applyAlignment="1">
      <alignment horizontal="left" vertical="center" wrapText="1"/>
    </xf>
    <xf numFmtId="0" fontId="8" fillId="2" borderId="12" xfId="349" applyFont="1" applyFill="1" applyBorder="1" applyAlignment="1">
      <alignment horizontal="left" vertical="center" wrapText="1"/>
    </xf>
    <xf numFmtId="0" fontId="33" fillId="2" borderId="20" xfId="288" applyFont="1" applyFill="1" applyBorder="1" applyAlignment="1">
      <alignment horizontal="left" vertical="center" wrapText="1"/>
    </xf>
    <xf numFmtId="179" fontId="33" fillId="2" borderId="20" xfId="233" applyNumberFormat="1" applyFont="1" applyFill="1" applyBorder="1" applyAlignment="1">
      <alignment horizontal="left" vertical="center" wrapText="1"/>
    </xf>
    <xf numFmtId="179" fontId="8" fillId="2" borderId="20" xfId="34" applyNumberFormat="1" applyFont="1" applyFill="1" applyBorder="1" applyAlignment="1">
      <alignment horizontal="left" vertical="center" wrapText="1"/>
    </xf>
    <xf numFmtId="0" fontId="8" fillId="2" borderId="12" xfId="34" applyFont="1" applyFill="1" applyBorder="1" applyAlignment="1">
      <alignment horizontal="left" vertical="center" wrapText="1"/>
    </xf>
    <xf numFmtId="0" fontId="16" fillId="2" borderId="12" xfId="0" applyFont="1" applyFill="1" applyBorder="1" applyAlignment="1">
      <alignment horizontal="center" vertical="center" wrapText="1" shrinkToFit="1"/>
    </xf>
    <xf numFmtId="179" fontId="8" fillId="2" borderId="20" xfId="262" applyNumberFormat="1" applyFont="1" applyFill="1" applyBorder="1" applyAlignment="1">
      <alignment horizontal="left" vertical="center" wrapText="1"/>
    </xf>
    <xf numFmtId="0" fontId="8" fillId="2" borderId="12" xfId="409" applyFont="1" applyFill="1" applyBorder="1" applyAlignment="1">
      <alignment horizontal="left" vertical="center" wrapText="1"/>
    </xf>
    <xf numFmtId="0" fontId="16" fillId="2" borderId="12" xfId="0" applyFont="1" applyFill="1" applyBorder="1" applyAlignment="1">
      <alignment horizontal="center" vertical="center" shrinkToFit="1"/>
    </xf>
    <xf numFmtId="0" fontId="17" fillId="2" borderId="12" xfId="0" applyFont="1" applyFill="1" applyBorder="1" applyAlignment="1">
      <alignment horizontal="center" vertical="center" wrapText="1" shrinkToFit="1"/>
    </xf>
    <xf numFmtId="49" fontId="16" fillId="2" borderId="19" xfId="0" applyNumberFormat="1" applyFont="1" applyFill="1" applyBorder="1" applyAlignment="1">
      <alignment horizontal="center" vertical="center" shrinkToFit="1"/>
    </xf>
    <xf numFmtId="0" fontId="15" fillId="2" borderId="12" xfId="0" applyFont="1" applyFill="1" applyBorder="1" applyAlignment="1">
      <alignment horizontal="left" vertical="center" wrapText="1"/>
    </xf>
    <xf numFmtId="49" fontId="15" fillId="2" borderId="19" xfId="0" applyNumberFormat="1" applyFont="1" applyFill="1" applyBorder="1" applyAlignment="1">
      <alignment horizontal="center" vertical="center" wrapText="1"/>
    </xf>
    <xf numFmtId="0" fontId="25" fillId="2" borderId="12" xfId="0" applyFont="1" applyFill="1" applyBorder="1" applyAlignment="1">
      <alignment horizontal="left" vertical="center" wrapText="1"/>
    </xf>
    <xf numFmtId="0" fontId="7" fillId="2" borderId="12" xfId="370" applyFont="1" applyFill="1" applyBorder="1" applyAlignment="1">
      <alignment horizontal="right" vertical="center" wrapText="1"/>
    </xf>
    <xf numFmtId="0" fontId="7" fillId="2" borderId="12" xfId="370" applyFont="1" applyFill="1" applyBorder="1" applyAlignment="1">
      <alignment horizontal="center" vertical="center" wrapText="1"/>
    </xf>
    <xf numFmtId="49" fontId="7" fillId="2" borderId="19" xfId="370" applyNumberFormat="1" applyFont="1" applyFill="1" applyBorder="1" applyAlignment="1">
      <alignment horizontal="center" vertical="center" wrapText="1"/>
    </xf>
    <xf numFmtId="178" fontId="11" fillId="2" borderId="20" xfId="195" applyNumberFormat="1" applyFont="1" applyFill="1" applyBorder="1" applyAlignment="1" applyProtection="1">
      <alignment horizontal="left" vertical="center" wrapText="1"/>
      <protection locked="0"/>
    </xf>
    <xf numFmtId="178" fontId="11" fillId="2" borderId="12" xfId="195" applyNumberFormat="1" applyFont="1" applyFill="1" applyBorder="1" applyAlignment="1" applyProtection="1">
      <alignment horizontal="left" vertical="center" wrapText="1"/>
      <protection locked="0"/>
    </xf>
    <xf numFmtId="0" fontId="25" fillId="2" borderId="20" xfId="370" applyFont="1" applyFill="1" applyBorder="1" applyAlignment="1">
      <alignment horizontal="left" vertical="center" wrapText="1"/>
    </xf>
    <xf numFmtId="0" fontId="8" fillId="2" borderId="12" xfId="251" applyFont="1" applyFill="1" applyBorder="1" applyAlignment="1">
      <alignment horizontal="left" vertical="center" wrapText="1"/>
    </xf>
    <xf numFmtId="178" fontId="14" fillId="2" borderId="20" xfId="57" applyNumberFormat="1" applyFont="1" applyFill="1" applyBorder="1" applyAlignment="1" applyProtection="1">
      <alignment horizontal="left" vertical="center" wrapText="1"/>
      <protection locked="0"/>
    </xf>
    <xf numFmtId="178" fontId="11" fillId="2" borderId="12" xfId="57" applyNumberFormat="1"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xf>
    <xf numFmtId="0" fontId="13" fillId="2" borderId="12" xfId="197" applyFont="1" applyFill="1" applyBorder="1" applyAlignment="1">
      <alignment horizontal="left" vertical="center" wrapText="1"/>
    </xf>
    <xf numFmtId="0" fontId="12" fillId="2" borderId="20" xfId="197" applyFont="1" applyFill="1" applyBorder="1" applyAlignment="1">
      <alignment horizontal="left" vertical="center" wrapText="1"/>
    </xf>
    <xf numFmtId="178" fontId="11" fillId="2" borderId="12" xfId="197" applyNumberFormat="1" applyFont="1" applyFill="1" applyBorder="1" applyAlignment="1" applyProtection="1">
      <alignment horizontal="left" vertical="center" wrapText="1"/>
      <protection locked="0"/>
    </xf>
    <xf numFmtId="0" fontId="15" fillId="2" borderId="20" xfId="0" applyFont="1" applyFill="1" applyBorder="1" applyAlignment="1">
      <alignment horizontal="left" vertical="center" wrapText="1"/>
    </xf>
    <xf numFmtId="178" fontId="7" fillId="2" borderId="12" xfId="0" applyNumberFormat="1" applyFont="1" applyFill="1" applyBorder="1" applyAlignment="1">
      <alignment horizontal="center" vertical="center" wrapText="1"/>
    </xf>
    <xf numFmtId="0" fontId="7" fillId="2" borderId="12" xfId="0" applyFont="1" applyFill="1" applyBorder="1" applyAlignment="1">
      <alignment horizontal="center" vertical="center"/>
    </xf>
    <xf numFmtId="49" fontId="7" fillId="2" borderId="19" xfId="0" applyNumberFormat="1" applyFont="1" applyFill="1" applyBorder="1" applyAlignment="1">
      <alignment horizontal="center" vertical="center"/>
    </xf>
    <xf numFmtId="0" fontId="7" fillId="2" borderId="20" xfId="3" applyFont="1" applyFill="1" applyBorder="1" applyAlignment="1">
      <alignment horizontal="left" vertical="center" wrapText="1"/>
    </xf>
    <xf numFmtId="0" fontId="7" fillId="2" borderId="12" xfId="3" applyFont="1" applyFill="1" applyBorder="1" applyAlignment="1">
      <alignment horizontal="left" vertical="center" wrapText="1"/>
    </xf>
    <xf numFmtId="0" fontId="3" fillId="2" borderId="20" xfId="370" applyFont="1" applyFill="1" applyBorder="1" applyAlignment="1">
      <alignment horizontal="left" vertical="center" wrapText="1"/>
    </xf>
    <xf numFmtId="178" fontId="10" fillId="2" borderId="12" xfId="147" applyNumberFormat="1" applyFont="1" applyFill="1" applyBorder="1" applyAlignment="1" applyProtection="1">
      <alignment horizontal="left" vertical="center" wrapText="1"/>
      <protection locked="0"/>
    </xf>
    <xf numFmtId="49" fontId="9" fillId="2" borderId="19" xfId="0" applyNumberFormat="1" applyFont="1" applyFill="1" applyBorder="1" applyAlignment="1">
      <alignment horizontal="center" vertical="center" wrapText="1"/>
    </xf>
    <xf numFmtId="0" fontId="35" fillId="2" borderId="20" xfId="48" applyFont="1" applyFill="1" applyBorder="1" applyAlignment="1">
      <alignment horizontal="left" vertical="center" wrapText="1"/>
    </xf>
    <xf numFmtId="178" fontId="3" fillId="2" borderId="12" xfId="0" applyNumberFormat="1" applyFont="1" applyFill="1" applyBorder="1" applyAlignment="1">
      <alignment horizontal="center" vertical="center" wrapText="1"/>
    </xf>
    <xf numFmtId="177" fontId="3" fillId="2" borderId="12" xfId="0" applyNumberFormat="1" applyFont="1" applyFill="1" applyBorder="1" applyAlignment="1">
      <alignment horizontal="center" vertical="center" wrapText="1"/>
    </xf>
    <xf numFmtId="0" fontId="8" fillId="2" borderId="2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49" fontId="7" fillId="2" borderId="19" xfId="0" applyNumberFormat="1" applyFont="1" applyFill="1" applyBorder="1" applyAlignment="1">
      <alignment horizontal="center" vertical="center" wrapText="1"/>
    </xf>
    <xf numFmtId="0" fontId="3" fillId="2" borderId="12" xfId="0" applyFont="1" applyFill="1" applyBorder="1" applyAlignment="1">
      <alignment horizontal="left" vertical="center" wrapText="1"/>
    </xf>
    <xf numFmtId="176" fontId="3" fillId="2" borderId="12" xfId="0"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0" fontId="3" fillId="2" borderId="20" xfId="0" applyFont="1" applyFill="1" applyBorder="1" applyAlignment="1">
      <alignment horizontal="left" vertical="center" wrapText="1"/>
    </xf>
    <xf numFmtId="0" fontId="8" fillId="2" borderId="12" xfId="412" applyFont="1" applyFill="1" applyBorder="1" applyAlignment="1">
      <alignment horizontal="left" vertical="center" wrapText="1"/>
    </xf>
    <xf numFmtId="178" fontId="7" fillId="2" borderId="12" xfId="3" applyNumberFormat="1" applyFont="1" applyFill="1" applyBorder="1" applyAlignment="1">
      <alignment horizontal="center" vertical="center" wrapText="1"/>
    </xf>
    <xf numFmtId="0" fontId="6" fillId="2" borderId="12" xfId="3" applyFont="1" applyFill="1" applyBorder="1" applyAlignment="1">
      <alignment horizontal="center" vertical="center"/>
    </xf>
    <xf numFmtId="0" fontId="7" fillId="2" borderId="12" xfId="3" applyFont="1" applyFill="1" applyBorder="1" applyAlignment="1">
      <alignment horizontal="center" vertical="center" wrapText="1" shrinkToFit="1"/>
    </xf>
    <xf numFmtId="49" fontId="6" fillId="2" borderId="19" xfId="3" applyNumberFormat="1" applyFont="1" applyFill="1" applyBorder="1" applyAlignment="1">
      <alignment horizontal="center" vertical="center" wrapText="1"/>
    </xf>
    <xf numFmtId="0" fontId="1" fillId="2" borderId="20" xfId="3" applyFont="1" applyFill="1" applyBorder="1" applyAlignment="1">
      <alignment horizontal="left" vertical="center" wrapText="1"/>
    </xf>
    <xf numFmtId="0" fontId="1" fillId="2" borderId="12" xfId="3" applyFont="1" applyFill="1" applyBorder="1" applyAlignment="1">
      <alignment horizontal="left" vertical="center" wrapText="1"/>
    </xf>
    <xf numFmtId="178" fontId="1" fillId="2" borderId="12" xfId="3" applyNumberFormat="1" applyFont="1" applyFill="1" applyBorder="1" applyAlignment="1">
      <alignment horizontal="center" vertical="center" wrapText="1"/>
    </xf>
    <xf numFmtId="0" fontId="1" fillId="2" borderId="12" xfId="3" applyFont="1" applyFill="1" applyBorder="1" applyAlignment="1">
      <alignment horizontal="center" vertical="center" wrapText="1"/>
    </xf>
    <xf numFmtId="178" fontId="5" fillId="2" borderId="12" xfId="3" applyNumberFormat="1" applyFont="1" applyFill="1" applyBorder="1" applyAlignment="1">
      <alignment horizontal="center" vertical="center" wrapText="1"/>
    </xf>
    <xf numFmtId="49" fontId="5" fillId="2" borderId="19" xfId="3" applyNumberFormat="1" applyFont="1" applyFill="1" applyBorder="1" applyAlignment="1">
      <alignment horizontal="center" vertical="center" wrapText="1"/>
    </xf>
    <xf numFmtId="0" fontId="38" fillId="2" borderId="0" xfId="0" applyFont="1" applyFill="1" applyBorder="1" applyAlignment="1">
      <alignment horizontal="center" vertical="center"/>
    </xf>
    <xf numFmtId="49" fontId="38" fillId="2" borderId="0" xfId="0" applyNumberFormat="1" applyFont="1" applyFill="1" applyBorder="1" applyAlignment="1">
      <alignment horizontal="center" vertical="center"/>
    </xf>
    <xf numFmtId="0" fontId="3" fillId="2" borderId="18" xfId="0" applyFont="1" applyFill="1" applyBorder="1" applyAlignment="1">
      <alignment horizontal="left"/>
    </xf>
    <xf numFmtId="0" fontId="3" fillId="2" borderId="17" xfId="0" applyFont="1" applyFill="1" applyBorder="1" applyAlignment="1">
      <alignment horizontal="left"/>
    </xf>
    <xf numFmtId="0" fontId="3" fillId="2" borderId="16" xfId="0" applyFont="1" applyFill="1" applyBorder="1" applyAlignment="1">
      <alignment horizontal="left"/>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1" xfId="0" applyFont="1" applyFill="1" applyBorder="1" applyAlignment="1">
      <alignment horizontal="left"/>
    </xf>
    <xf numFmtId="0" fontId="3" fillId="2" borderId="0" xfId="0" applyFont="1" applyFill="1" applyBorder="1" applyAlignment="1">
      <alignment horizontal="left"/>
    </xf>
    <xf numFmtId="0" fontId="3" fillId="2" borderId="10" xfId="0" applyFont="1" applyFill="1" applyBorder="1" applyAlignment="1">
      <alignment horizontal="left"/>
    </xf>
    <xf numFmtId="49" fontId="8" fillId="2" borderId="11" xfId="0" applyNumberFormat="1" applyFont="1" applyFill="1" applyBorder="1" applyAlignment="1">
      <alignment horizontal="left" vertical="center" wrapText="1"/>
    </xf>
    <xf numFmtId="49" fontId="8" fillId="2" borderId="0" xfId="0" applyNumberFormat="1" applyFont="1" applyFill="1" applyBorder="1" applyAlignment="1">
      <alignment horizontal="left" vertical="center" wrapText="1"/>
    </xf>
    <xf numFmtId="49" fontId="8" fillId="2" borderId="10" xfId="0" applyNumberFormat="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lignment vertical="center"/>
    </xf>
    <xf numFmtId="0" fontId="3" fillId="2" borderId="12" xfId="0" applyFont="1" applyFill="1" applyBorder="1">
      <alignment vertical="center"/>
    </xf>
  </cellXfs>
  <cellStyles count="807">
    <cellStyle name="常规" xfId="0" builtinId="0"/>
    <cellStyle name="常规 10" xfId="50"/>
    <cellStyle name="常规 10 2" xfId="53"/>
    <cellStyle name="常规 10 2 2" xfId="57"/>
    <cellStyle name="常规 10 2 2 2" xfId="60"/>
    <cellStyle name="常规 10 2 2 3" xfId="14"/>
    <cellStyle name="常规 10 2 2 4" xfId="62"/>
    <cellStyle name="常规 10 2 2 5" xfId="550"/>
    <cellStyle name="常规 10 2 2 6" xfId="698"/>
    <cellStyle name="常规 10 2 3" xfId="64"/>
    <cellStyle name="常规 10 2 3 2" xfId="10"/>
    <cellStyle name="常规 10 2 3 3" xfId="29"/>
    <cellStyle name="常规 10 2 4" xfId="39"/>
    <cellStyle name="常规 10 2 5" xfId="65"/>
    <cellStyle name="常规 10 2 6" xfId="554"/>
    <cellStyle name="常规 10 2 7" xfId="695"/>
    <cellStyle name="常规 10 3" xfId="5"/>
    <cellStyle name="常规 10 3 2" xfId="68"/>
    <cellStyle name="常规 10 3 3" xfId="70"/>
    <cellStyle name="常规 10 3 4" xfId="71"/>
    <cellStyle name="常规 10 3 5" xfId="556"/>
    <cellStyle name="常规 10 3 6" xfId="675"/>
    <cellStyle name="常规 10 4" xfId="74"/>
    <cellStyle name="常规 10 4 2" xfId="75"/>
    <cellStyle name="常规 10 4 3" xfId="76"/>
    <cellStyle name="常规 10 5" xfId="77"/>
    <cellStyle name="常规 10 6" xfId="78"/>
    <cellStyle name="常规 10 7" xfId="559"/>
    <cellStyle name="常规 10 8" xfId="692"/>
    <cellStyle name="常规 11" xfId="81"/>
    <cellStyle name="常规 11 2" xfId="84"/>
    <cellStyle name="常规 11 2 2" xfId="86"/>
    <cellStyle name="常规 11 2 2 2" xfId="89"/>
    <cellStyle name="常规 11 2 2 3" xfId="91"/>
    <cellStyle name="常规 11 2 2 4" xfId="92"/>
    <cellStyle name="常规 11 2 2 5" xfId="560"/>
    <cellStyle name="常规 11 2 2 6" xfId="676"/>
    <cellStyle name="常规 11 2 3" xfId="93"/>
    <cellStyle name="常规 11 2 3 2" xfId="95"/>
    <cellStyle name="常规 11 2 3 3" xfId="96"/>
    <cellStyle name="常规 11 2 4" xfId="98"/>
    <cellStyle name="常规 11 2 5" xfId="100"/>
    <cellStyle name="常规 11 2 6" xfId="562"/>
    <cellStyle name="常规 11 2 7" xfId="703"/>
    <cellStyle name="常规 11 3" xfId="104"/>
    <cellStyle name="常规 11 3 2" xfId="105"/>
    <cellStyle name="常规 11 3 3" xfId="106"/>
    <cellStyle name="常规 11 3 4" xfId="108"/>
    <cellStyle name="常规 11 3 5" xfId="544"/>
    <cellStyle name="常规 11 3 6" xfId="697"/>
    <cellStyle name="常规 11 4" xfId="110"/>
    <cellStyle name="常规 11 4 2" xfId="112"/>
    <cellStyle name="常规 11 4 3" xfId="114"/>
    <cellStyle name="常规 11 5" xfId="115"/>
    <cellStyle name="常规 11 6" xfId="116"/>
    <cellStyle name="常规 11 7" xfId="564"/>
    <cellStyle name="常规 11 8" xfId="700"/>
    <cellStyle name="常规 12" xfId="119"/>
    <cellStyle name="常规 12 2" xfId="121"/>
    <cellStyle name="常规 12 2 2" xfId="18"/>
    <cellStyle name="常规 12 2 2 2" xfId="124"/>
    <cellStyle name="常规 12 2 2 3" xfId="17"/>
    <cellStyle name="常规 12 2 2 4" xfId="127"/>
    <cellStyle name="常规 12 2 2 5" xfId="566"/>
    <cellStyle name="常规 12 2 2 6" xfId="681"/>
    <cellStyle name="常规 12 2 3" xfId="11"/>
    <cellStyle name="常规 12 2 3 2" xfId="128"/>
    <cellStyle name="常规 12 2 3 3" xfId="130"/>
    <cellStyle name="常规 12 2 4" xfId="31"/>
    <cellStyle name="常规 12 2 5" xfId="47"/>
    <cellStyle name="常规 12 2 6" xfId="548"/>
    <cellStyle name="常规 12 2 7" xfId="705"/>
    <cellStyle name="常规 12 3" xfId="132"/>
    <cellStyle name="常规 12 3 2" xfId="133"/>
    <cellStyle name="常规 12 3 3" xfId="134"/>
    <cellStyle name="常规 12 3 4" xfId="136"/>
    <cellStyle name="常规 12 3 5" xfId="541"/>
    <cellStyle name="常规 12 3 6" xfId="706"/>
    <cellStyle name="常规 12 4" xfId="137"/>
    <cellStyle name="常规 12 4 2" xfId="139"/>
    <cellStyle name="常规 12 4 3" xfId="140"/>
    <cellStyle name="常规 12 5" xfId="141"/>
    <cellStyle name="常规 12 6" xfId="142"/>
    <cellStyle name="常规 12 7" xfId="567"/>
    <cellStyle name="常规 12 8" xfId="683"/>
    <cellStyle name="常规 13" xfId="145"/>
    <cellStyle name="常规 13 2" xfId="146"/>
    <cellStyle name="常规 13 2 2" xfId="147"/>
    <cellStyle name="常规 13 2 2 2" xfId="46"/>
    <cellStyle name="常规 13 2 2 3" xfId="55"/>
    <cellStyle name="常规 13 2 2 4" xfId="148"/>
    <cellStyle name="常规 13 2 2 5" xfId="568"/>
    <cellStyle name="常规 13 2 2 6" xfId="691"/>
    <cellStyle name="常规 13 2 3" xfId="149"/>
    <cellStyle name="常规 13 2 3 2" xfId="25"/>
    <cellStyle name="常规 13 2 3 3" xfId="150"/>
    <cellStyle name="常规 13 2 4" xfId="153"/>
    <cellStyle name="常规 13 2 5" xfId="156"/>
    <cellStyle name="常规 13 2 6" xfId="569"/>
    <cellStyle name="常规 13 2 7" xfId="677"/>
    <cellStyle name="常规 13 3" xfId="157"/>
    <cellStyle name="常规 13 3 2" xfId="158"/>
    <cellStyle name="常规 13 3 3" xfId="160"/>
    <cellStyle name="常规 13 3 4" xfId="163"/>
    <cellStyle name="常规 13 3 5" xfId="571"/>
    <cellStyle name="常规 13 3 6" xfId="679"/>
    <cellStyle name="常规 13 4" xfId="164"/>
    <cellStyle name="常规 13 4 2" xfId="165"/>
    <cellStyle name="常规 13 4 3" xfId="166"/>
    <cellStyle name="常规 13 5" xfId="35"/>
    <cellStyle name="常规 13 6" xfId="167"/>
    <cellStyle name="常规 13 7" xfId="572"/>
    <cellStyle name="常规 13 8" xfId="702"/>
    <cellStyle name="常规 14" xfId="168"/>
    <cellStyle name="常规 14 2" xfId="170"/>
    <cellStyle name="常规 14 2 2" xfId="171"/>
    <cellStyle name="常规 14 2 2 2" xfId="173"/>
    <cellStyle name="常规 14 2 2 3" xfId="174"/>
    <cellStyle name="常规 14 2 2 4" xfId="176"/>
    <cellStyle name="常规 14 2 2 5" xfId="538"/>
    <cellStyle name="常规 14 2 2 6" xfId="709"/>
    <cellStyle name="常规 14 2 3" xfId="177"/>
    <cellStyle name="常规 14 2 3 2" xfId="179"/>
    <cellStyle name="常规 14 2 3 3" xfId="180"/>
    <cellStyle name="常规 14 2 4" xfId="182"/>
    <cellStyle name="常规 14 2 5" xfId="184"/>
    <cellStyle name="常规 14 2 6" xfId="577"/>
    <cellStyle name="常规 14 2 7" xfId="708"/>
    <cellStyle name="常规 14 3" xfId="186"/>
    <cellStyle name="常规 14 3 2" xfId="16"/>
    <cellStyle name="常规 14 3 3" xfId="126"/>
    <cellStyle name="常规 14 3 4" xfId="187"/>
    <cellStyle name="常规 14 3 5" xfId="578"/>
    <cellStyle name="常规 14 3 6" xfId="710"/>
    <cellStyle name="常规 14 4" xfId="188"/>
    <cellStyle name="常规 14 4 2" xfId="129"/>
    <cellStyle name="常规 14 4 3" xfId="189"/>
    <cellStyle name="常规 14 5" xfId="190"/>
    <cellStyle name="常规 14 6" xfId="191"/>
    <cellStyle name="常规 14 7" xfId="580"/>
    <cellStyle name="常规 14 8" xfId="707"/>
    <cellStyle name="常规 15" xfId="192"/>
    <cellStyle name="常规 15 2" xfId="194"/>
    <cellStyle name="常规 15 2 2" xfId="197"/>
    <cellStyle name="常规 15 2 2 2" xfId="199"/>
    <cellStyle name="常规 15 2 2 3" xfId="200"/>
    <cellStyle name="常规 15 2 2 4" xfId="201"/>
    <cellStyle name="常规 15 2 2 5" xfId="581"/>
    <cellStyle name="常规 15 2 2 6" xfId="715"/>
    <cellStyle name="常规 15 2 3" xfId="203"/>
    <cellStyle name="常规 15 2 3 2" xfId="205"/>
    <cellStyle name="常规 15 2 3 3" xfId="207"/>
    <cellStyle name="常规 15 2 4" xfId="208"/>
    <cellStyle name="常规 15 2 5" xfId="210"/>
    <cellStyle name="常规 15 2 6" xfId="584"/>
    <cellStyle name="常规 15 2 7" xfId="713"/>
    <cellStyle name="常规 15 3" xfId="211"/>
    <cellStyle name="常规 15 3 2" xfId="213"/>
    <cellStyle name="常规 15 3 3" xfId="216"/>
    <cellStyle name="常规 15 3 4" xfId="220"/>
    <cellStyle name="常规 15 3 5" xfId="543"/>
    <cellStyle name="常规 15 3 6" xfId="716"/>
    <cellStyle name="常规 15 4" xfId="221"/>
    <cellStyle name="常规 15 4 2" xfId="6"/>
    <cellStyle name="常规 15 4 3" xfId="225"/>
    <cellStyle name="常规 15 5" xfId="226"/>
    <cellStyle name="常规 15 6" xfId="228"/>
    <cellStyle name="常规 15 7" xfId="588"/>
    <cellStyle name="常规 15 8" xfId="711"/>
    <cellStyle name="常规 16" xfId="229"/>
    <cellStyle name="常规 16 2" xfId="48"/>
    <cellStyle name="常规 16 2 2" xfId="51"/>
    <cellStyle name="常规 16 2 2 2" xfId="56"/>
    <cellStyle name="常规 16 2 2 2 2" xfId="59"/>
    <cellStyle name="常规 16 2 2 2 3" xfId="539"/>
    <cellStyle name="常规 16 2 2 2 4" xfId="699"/>
    <cellStyle name="常规 16 2 2 3" xfId="63"/>
    <cellStyle name="常规 16 2 2 4" xfId="38"/>
    <cellStyle name="常规 16 2 2 5" xfId="553"/>
    <cellStyle name="常规 16 2 2 6" xfId="696"/>
    <cellStyle name="常规 16 2 3" xfId="3"/>
    <cellStyle name="常规 16 2 3 2" xfId="66"/>
    <cellStyle name="常规 16 2 3 3" xfId="69"/>
    <cellStyle name="常规 16 2 4" xfId="72"/>
    <cellStyle name="常规 16 2 5" xfId="557"/>
    <cellStyle name="常规 16 2 6" xfId="693"/>
    <cellStyle name="常规 16 3" xfId="79"/>
    <cellStyle name="常规 16 3 2" xfId="82"/>
    <cellStyle name="常规 16 3 2 2" xfId="85"/>
    <cellStyle name="常规 16 3 2 3" xfId="561"/>
    <cellStyle name="常规 16 3 2 4" xfId="704"/>
    <cellStyle name="常规 16 3 3" xfId="101"/>
    <cellStyle name="常规 16 3 4" xfId="109"/>
    <cellStyle name="常规 16 3 5" xfId="563"/>
    <cellStyle name="常规 16 3 6" xfId="701"/>
    <cellStyle name="常规 16 4" xfId="117"/>
    <cellStyle name="常规 16 4 2" xfId="120"/>
    <cellStyle name="常规 16 4 3" xfId="131"/>
    <cellStyle name="常规 16 5" xfId="143"/>
    <cellStyle name="常规 16 6" xfId="573"/>
    <cellStyle name="常规 16 7" xfId="717"/>
    <cellStyle name="常规 17" xfId="232"/>
    <cellStyle name="常规 17 2" xfId="151"/>
    <cellStyle name="常规 17 2 2" xfId="234"/>
    <cellStyle name="常规 17 2 2 2" xfId="236"/>
    <cellStyle name="常规 17 2 2 3" xfId="169"/>
    <cellStyle name="常规 17 2 2 4" xfId="185"/>
    <cellStyle name="常规 17 2 2 5" xfId="579"/>
    <cellStyle name="常规 17 2 2 6" xfId="723"/>
    <cellStyle name="常规 17 2 3" xfId="237"/>
    <cellStyle name="常规 17 2 3 2" xfId="239"/>
    <cellStyle name="常规 17 2 3 3" xfId="196"/>
    <cellStyle name="常规 17 2 4" xfId="240"/>
    <cellStyle name="常规 17 2 5" xfId="242"/>
    <cellStyle name="常规 17 2 6" xfId="590"/>
    <cellStyle name="常规 17 2 7" xfId="721"/>
    <cellStyle name="常规 17 3" xfId="154"/>
    <cellStyle name="常规 17 3 2" xfId="243"/>
    <cellStyle name="常规 17 3 3" xfId="245"/>
    <cellStyle name="常规 17 3 4" xfId="247"/>
    <cellStyle name="常规 17 3 5" xfId="591"/>
    <cellStyle name="常规 17 3 6" xfId="724"/>
    <cellStyle name="常规 17 4" xfId="248"/>
    <cellStyle name="常规 17 4 2" xfId="252"/>
    <cellStyle name="常规 17 4 3" xfId="255"/>
    <cellStyle name="常规 17 5" xfId="257"/>
    <cellStyle name="常规 17 6" xfId="260"/>
    <cellStyle name="常规 17 7" xfId="593"/>
    <cellStyle name="常规 17 8" xfId="719"/>
    <cellStyle name="常规 18" xfId="261"/>
    <cellStyle name="常规 18 2" xfId="161"/>
    <cellStyle name="常规 18 2 2" xfId="265"/>
    <cellStyle name="常规 18 2 2 2" xfId="267"/>
    <cellStyle name="常规 18 2 2 3" xfId="594"/>
    <cellStyle name="常规 18 2 2 4" xfId="729"/>
    <cellStyle name="常规 18 2 3" xfId="270"/>
    <cellStyle name="常规 18 2 4" xfId="597"/>
    <cellStyle name="常规 18 2 5" xfId="727"/>
    <cellStyle name="常规 18 3" xfId="273"/>
    <cellStyle name="常规 18 3 2" xfId="277"/>
    <cellStyle name="常规 18 3 3" xfId="279"/>
    <cellStyle name="常规 18 3 4" xfId="283"/>
    <cellStyle name="常规 18 3 5" xfId="602"/>
    <cellStyle name="常规 18 3 6" xfId="731"/>
    <cellStyle name="常规 18 4" xfId="285"/>
    <cellStyle name="常规 18 5" xfId="604"/>
    <cellStyle name="常规 18 6" xfId="725"/>
    <cellStyle name="常规 19" xfId="287"/>
    <cellStyle name="常规 19 2" xfId="289"/>
    <cellStyle name="常规 19 2 2" xfId="291"/>
    <cellStyle name="常规 19 2 3" xfId="293"/>
    <cellStyle name="常规 19 2 4" xfId="296"/>
    <cellStyle name="常规 19 2 5" xfId="607"/>
    <cellStyle name="常规 19 2 6" xfId="735"/>
    <cellStyle name="常规 19 3" xfId="263"/>
    <cellStyle name="常规 19 3 2" xfId="269"/>
    <cellStyle name="常规 19 3 3" xfId="297"/>
    <cellStyle name="常规 19 4" xfId="272"/>
    <cellStyle name="常规 19 5" xfId="299"/>
    <cellStyle name="常规 19 6" xfId="608"/>
    <cellStyle name="常规 19 7" xfId="733"/>
    <cellStyle name="常规 2" xfId="301"/>
    <cellStyle name="常规 2 2" xfId="295"/>
    <cellStyle name="常规 2 2 2" xfId="303"/>
    <cellStyle name="常规 2 2 2 2" xfId="218"/>
    <cellStyle name="常规 2 2 2 2 2" xfId="304"/>
    <cellStyle name="常规 2 2 2 2 2 2" xfId="306"/>
    <cellStyle name="常规 2 2 2 2 2 3" xfId="542"/>
    <cellStyle name="常规 2 2 2 2 2 4" xfId="742"/>
    <cellStyle name="常规 2 2 2 2 3" xfId="308"/>
    <cellStyle name="常规 2 2 2 2 4" xfId="611"/>
    <cellStyle name="常规 2 2 2 2 5" xfId="741"/>
    <cellStyle name="常规 2 2 2 3" xfId="219"/>
    <cellStyle name="常规 2 2 2 3 2" xfId="309"/>
    <cellStyle name="常规 2 2 2 3 2 2" xfId="311"/>
    <cellStyle name="常规 2 2 2 3 2 3" xfId="312"/>
    <cellStyle name="常规 2 2 2 3 2 4" xfId="313"/>
    <cellStyle name="常规 2 2 2 3 2 5" xfId="613"/>
    <cellStyle name="常规 2 2 2 3 2 6" xfId="744"/>
    <cellStyle name="常规 2 2 2 3 3" xfId="314"/>
    <cellStyle name="常规 2 2 2 3 3 2" xfId="315"/>
    <cellStyle name="常规 2 2 2 3 3 3" xfId="172"/>
    <cellStyle name="常规 2 2 2 3 4" xfId="317"/>
    <cellStyle name="常规 2 2 2 3 5" xfId="318"/>
    <cellStyle name="常规 2 2 2 3 6" xfId="614"/>
    <cellStyle name="常规 2 2 2 3 7" xfId="743"/>
    <cellStyle name="常规 2 2 2 4" xfId="41"/>
    <cellStyle name="常规 2 2 2 4 2" xfId="319"/>
    <cellStyle name="常规 2 2 2 4 3" xfId="322"/>
    <cellStyle name="常规 2 2 2 4 4" xfId="615"/>
    <cellStyle name="常规 2 2 2 4 5" xfId="690"/>
    <cellStyle name="常规 2 2 2 5" xfId="36"/>
    <cellStyle name="常规 2 2 2 5 2" xfId="61"/>
    <cellStyle name="常规 2 2 2 5 3" xfId="549"/>
    <cellStyle name="常规 2 2 2 5 4" xfId="688"/>
    <cellStyle name="常规 2 2 2 6" xfId="43"/>
    <cellStyle name="常规 2 2 2 7" xfId="545"/>
    <cellStyle name="常规 2 2 2 8" xfId="739"/>
    <cellStyle name="常规 2 2 3" xfId="324"/>
    <cellStyle name="常规 2 2 3 2" xfId="224"/>
    <cellStyle name="常规 2 2 3 2 2" xfId="325"/>
    <cellStyle name="常规 2 2 3 2 3" xfId="616"/>
    <cellStyle name="常规 2 2 3 2 4" xfId="747"/>
    <cellStyle name="常规 2 2 3 3" xfId="326"/>
    <cellStyle name="常规 2 2 3 3 2" xfId="328"/>
    <cellStyle name="常规 2 2 3 3 3" xfId="618"/>
    <cellStyle name="常规 2 2 3 3 4" xfId="748"/>
    <cellStyle name="常规 2 2 3 4" xfId="330"/>
    <cellStyle name="常规 2 2 3 5" xfId="620"/>
    <cellStyle name="常规 2 2 3 6" xfId="745"/>
    <cellStyle name="常规 2 2 4" xfId="2"/>
    <cellStyle name="常规 2 2 4 2" xfId="332"/>
    <cellStyle name="常规 2 2 4 2 2" xfId="335"/>
    <cellStyle name="常规 2 2 4 2 3" xfId="622"/>
    <cellStyle name="常规 2 2 4 2 4" xfId="749"/>
    <cellStyle name="常规 2 2 4 3" xfId="336"/>
    <cellStyle name="常规 2 2 4 4" xfId="624"/>
    <cellStyle name="常规 2 2 4 5" xfId="674"/>
    <cellStyle name="常规 2 2 5" xfId="337"/>
    <cellStyle name="常规 2 2 5 2" xfId="338"/>
    <cellStyle name="常规 2 2 5 3" xfId="625"/>
    <cellStyle name="常规 2 2 5 4" xfId="750"/>
    <cellStyle name="常规 2 2 6" xfId="339"/>
    <cellStyle name="常规 2 2 7" xfId="626"/>
    <cellStyle name="常规 2 2 8" xfId="738"/>
    <cellStyle name="常规 2 3" xfId="340"/>
    <cellStyle name="常规 2 3 2" xfId="341"/>
    <cellStyle name="常规 2 3 2 2" xfId="103"/>
    <cellStyle name="常规 2 3 3" xfId="342"/>
    <cellStyle name="常规 2 4" xfId="343"/>
    <cellStyle name="常规 2 4 2" xfId="344"/>
    <cellStyle name="常规 2 4 3" xfId="345"/>
    <cellStyle name="常规 2 5" xfId="346"/>
    <cellStyle name="常规 2 5 2" xfId="347"/>
    <cellStyle name="常规 2 5 2 2" xfId="281"/>
    <cellStyle name="常规 2 5 2 3" xfId="601"/>
    <cellStyle name="常规 2 5 2 4" xfId="751"/>
    <cellStyle name="常规 2 6" xfId="348"/>
    <cellStyle name="常规 2 7" xfId="551"/>
    <cellStyle name="常规 2 8" xfId="737"/>
    <cellStyle name="常规 20" xfId="193"/>
    <cellStyle name="常规 20 2" xfId="195"/>
    <cellStyle name="常规 20 2 2" xfId="198"/>
    <cellStyle name="常规 20 2 3" xfId="204"/>
    <cellStyle name="常规 20 2 4" xfId="209"/>
    <cellStyle name="常规 20 2 5" xfId="583"/>
    <cellStyle name="常规 20 2 6" xfId="714"/>
    <cellStyle name="常规 20 3" xfId="212"/>
    <cellStyle name="常规 20 3 2" xfId="214"/>
    <cellStyle name="常规 20 3 3" xfId="217"/>
    <cellStyle name="常规 20 4" xfId="222"/>
    <cellStyle name="常规 20 5" xfId="227"/>
    <cellStyle name="常规 20 6" xfId="587"/>
    <cellStyle name="常规 20 7" xfId="712"/>
    <cellStyle name="常规 21" xfId="230"/>
    <cellStyle name="常规 21 2" xfId="49"/>
    <cellStyle name="常规 21 2 2" xfId="52"/>
    <cellStyle name="常规 21 2 3" xfId="4"/>
    <cellStyle name="常规 21 2 4" xfId="73"/>
    <cellStyle name="常规 21 2 5" xfId="558"/>
    <cellStyle name="常规 21 2 6" xfId="694"/>
    <cellStyle name="常规 21 3" xfId="80"/>
    <cellStyle name="常规 21 3 2" xfId="83"/>
    <cellStyle name="常规 21 3 3" xfId="102"/>
    <cellStyle name="常规 21 4" xfId="118"/>
    <cellStyle name="常规 21 5" xfId="144"/>
    <cellStyle name="常规 21 6" xfId="574"/>
    <cellStyle name="常规 21 7" xfId="718"/>
    <cellStyle name="常规 22" xfId="233"/>
    <cellStyle name="常规 22 2" xfId="152"/>
    <cellStyle name="常规 22 2 2" xfId="235"/>
    <cellStyle name="常规 22 2 3" xfId="238"/>
    <cellStyle name="常规 22 2 4" xfId="241"/>
    <cellStyle name="常规 22 2 5" xfId="589"/>
    <cellStyle name="常规 22 2 6" xfId="722"/>
    <cellStyle name="常规 22 3" xfId="155"/>
    <cellStyle name="常规 22 3 2" xfId="244"/>
    <cellStyle name="常规 22 3 3" xfId="246"/>
    <cellStyle name="常规 22 4" xfId="249"/>
    <cellStyle name="常规 22 5" xfId="258"/>
    <cellStyle name="常规 22 6" xfId="592"/>
    <cellStyle name="常规 22 7" xfId="720"/>
    <cellStyle name="常规 23" xfId="262"/>
    <cellStyle name="常规 23 2" xfId="162"/>
    <cellStyle name="常规 23 2 2" xfId="266"/>
    <cellStyle name="常规 23 2 2 2" xfId="268"/>
    <cellStyle name="常规 23 2 2 3" xfId="595"/>
    <cellStyle name="常规 23 2 2 4" xfId="730"/>
    <cellStyle name="常规 23 2 3" xfId="271"/>
    <cellStyle name="常规 23 2 4" xfId="598"/>
    <cellStyle name="常规 23 2 5" xfId="728"/>
    <cellStyle name="常规 23 3" xfId="274"/>
    <cellStyle name="常规 23 3 2" xfId="278"/>
    <cellStyle name="常规 23 3 3" xfId="280"/>
    <cellStyle name="常规 23 3 4" xfId="284"/>
    <cellStyle name="常规 23 3 5" xfId="603"/>
    <cellStyle name="常规 23 3 6" xfId="732"/>
    <cellStyle name="常规 23 4" xfId="286"/>
    <cellStyle name="常规 23 5" xfId="605"/>
    <cellStyle name="常规 23 6" xfId="726"/>
    <cellStyle name="常规 24" xfId="288"/>
    <cellStyle name="常规 24 2" xfId="290"/>
    <cellStyle name="常规 24 2 2" xfId="292"/>
    <cellStyle name="常规 24 2 3" xfId="294"/>
    <cellStyle name="常规 24 2 4" xfId="606"/>
    <cellStyle name="常规 24 2 5" xfId="736"/>
    <cellStyle name="常规 24 3" xfId="264"/>
    <cellStyle name="常规 24 4" xfId="596"/>
    <cellStyle name="常规 24 5" xfId="734"/>
    <cellStyle name="常规 25" xfId="349"/>
    <cellStyle name="常规 25 2" xfId="351"/>
    <cellStyle name="常规 25 2 2" xfId="329"/>
    <cellStyle name="常规 25 2 3" xfId="619"/>
    <cellStyle name="常规 25 2 4" xfId="754"/>
    <cellStyle name="常规 25 3" xfId="275"/>
    <cellStyle name="常规 25 4" xfId="599"/>
    <cellStyle name="常规 25 5" xfId="752"/>
    <cellStyle name="常规 26" xfId="33"/>
    <cellStyle name="常规 26 2" xfId="7"/>
    <cellStyle name="常规 26 3" xfId="44"/>
    <cellStyle name="常规 26 4" xfId="547"/>
    <cellStyle name="常规 26 5" xfId="686"/>
    <cellStyle name="常规 27" xfId="353"/>
    <cellStyle name="常规 27 2" xfId="355"/>
    <cellStyle name="常规 27 2 2" xfId="359"/>
    <cellStyle name="常规 27 2 3" xfId="610"/>
    <cellStyle name="常规 27 2 4" xfId="757"/>
    <cellStyle name="常规 27 3" xfId="361"/>
    <cellStyle name="常规 27 4" xfId="612"/>
    <cellStyle name="常规 27 5" xfId="755"/>
    <cellStyle name="常规 28" xfId="250"/>
    <cellStyle name="常规 28 2" xfId="362"/>
    <cellStyle name="常规 28 3" xfId="364"/>
    <cellStyle name="常规 28 4" xfId="316"/>
    <cellStyle name="常规 28 5" xfId="575"/>
    <cellStyle name="常规 28 6" xfId="758"/>
    <cellStyle name="常规 29" xfId="253"/>
    <cellStyle name="常规 29 2" xfId="365"/>
    <cellStyle name="常规 29 3" xfId="367"/>
    <cellStyle name="常规 29 4" xfId="368"/>
    <cellStyle name="常规 29 5" xfId="178"/>
    <cellStyle name="常规 29 6" xfId="576"/>
    <cellStyle name="常规 29 7" xfId="760"/>
    <cellStyle name="常规 3" xfId="370"/>
    <cellStyle name="常规 3 2" xfId="371"/>
    <cellStyle name="常规 3 2 2" xfId="372"/>
    <cellStyle name="常规 3 2 2 2" xfId="256"/>
    <cellStyle name="常规 3 2 2 2 2" xfId="373"/>
    <cellStyle name="常规 3 2 2 2 3" xfId="305"/>
    <cellStyle name="常规 3 2 2 2 4" xfId="32"/>
    <cellStyle name="常规 3 2 2 2 5" xfId="630"/>
    <cellStyle name="常规 3 2 2 2 6" xfId="765"/>
    <cellStyle name="常规 3 2 2 3" xfId="259"/>
    <cellStyle name="常规 3 2 2 3 2" xfId="374"/>
    <cellStyle name="常规 3 2 2 3 3" xfId="376"/>
    <cellStyle name="常规 3 2 2 4" xfId="377"/>
    <cellStyle name="常规 3 2 2 5" xfId="378"/>
    <cellStyle name="常规 3 2 2 6" xfId="380"/>
    <cellStyle name="常规 3 2 2 7" xfId="631"/>
    <cellStyle name="常规 3 2 2 8" xfId="764"/>
    <cellStyle name="常规 3 2 3" xfId="381"/>
    <cellStyle name="常规 3 2 3 2" xfId="382"/>
    <cellStyle name="常规 3 2 3 2 2" xfId="360"/>
    <cellStyle name="常规 3 2 3 2 3" xfId="310"/>
    <cellStyle name="常规 3 2 3 3" xfId="383"/>
    <cellStyle name="常规 3 2 3 4" xfId="384"/>
    <cellStyle name="常规 3 2 3 5" xfId="632"/>
    <cellStyle name="常规 3 2 3 6" xfId="766"/>
    <cellStyle name="常规 3 2 4" xfId="385"/>
    <cellStyle name="常规 3 2 4 2" xfId="298"/>
    <cellStyle name="常规 3 2 4 3" xfId="386"/>
    <cellStyle name="常规 3 2 4 4" xfId="387"/>
    <cellStyle name="常规 3 2 4 5" xfId="633"/>
    <cellStyle name="常规 3 2 4 6" xfId="767"/>
    <cellStyle name="常规 3 2 5" xfId="388"/>
    <cellStyle name="常规 3 2 5 2" xfId="282"/>
    <cellStyle name="常规 3 2 5 3" xfId="389"/>
    <cellStyle name="常规 3 2 6" xfId="40"/>
    <cellStyle name="常规 3 2 7" xfId="634"/>
    <cellStyle name="常规 3 2 8" xfId="763"/>
    <cellStyle name="常规 3 3" xfId="390"/>
    <cellStyle name="常规 3 3 2" xfId="391"/>
    <cellStyle name="常规 3 3 2 2" xfId="392"/>
    <cellStyle name="常规 3 3 2 3" xfId="58"/>
    <cellStyle name="常规 3 3 2 4" xfId="13"/>
    <cellStyle name="常规 3 3 2 5" xfId="552"/>
    <cellStyle name="常规 3 3 2 6" xfId="769"/>
    <cellStyle name="常规 3 3 3" xfId="393"/>
    <cellStyle name="常规 3 3 3 2" xfId="394"/>
    <cellStyle name="常规 3 3 3 3" xfId="9"/>
    <cellStyle name="常规 3 3 4" xfId="300"/>
    <cellStyle name="常规 3 3 5" xfId="369"/>
    <cellStyle name="常规 3 3 6" xfId="397"/>
    <cellStyle name="常规 3 3 7" xfId="565"/>
    <cellStyle name="常规 3 3 8" xfId="768"/>
    <cellStyle name="常规 3 4" xfId="398"/>
    <cellStyle name="常规 3 4 2" xfId="175"/>
    <cellStyle name="常规 3 5" xfId="399"/>
    <cellStyle name="常规 3 5 2" xfId="400"/>
    <cellStyle name="常规 3 5 3" xfId="401"/>
    <cellStyle name="常规 3 5 4" xfId="327"/>
    <cellStyle name="常规 3 5 5" xfId="402"/>
    <cellStyle name="常规 3 6" xfId="403"/>
    <cellStyle name="常规 3 6 2" xfId="404"/>
    <cellStyle name="常规 3 6 3" xfId="12"/>
    <cellStyle name="常规 3 7" xfId="67"/>
    <cellStyle name="常规 3 8" xfId="555"/>
    <cellStyle name="常规 3 9" xfId="762"/>
    <cellStyle name="常规 30" xfId="350"/>
    <cellStyle name="常规 30 2" xfId="352"/>
    <cellStyle name="常规 30 3" xfId="276"/>
    <cellStyle name="常规 30 4" xfId="600"/>
    <cellStyle name="常规 30 5" xfId="753"/>
    <cellStyle name="常规 31" xfId="34"/>
    <cellStyle name="常规 31 2" xfId="8"/>
    <cellStyle name="常规 31 3" xfId="546"/>
    <cellStyle name="常规 31 4" xfId="685"/>
    <cellStyle name="常规 32" xfId="354"/>
    <cellStyle name="常规 32 2" xfId="356"/>
    <cellStyle name="常规 32 3" xfId="627"/>
    <cellStyle name="常规 32 4" xfId="756"/>
    <cellStyle name="常规 33" xfId="251"/>
    <cellStyle name="常规 33 2" xfId="363"/>
    <cellStyle name="常规 33 3" xfId="628"/>
    <cellStyle name="常规 33 4" xfId="759"/>
    <cellStyle name="常规 34" xfId="254"/>
    <cellStyle name="常规 34 2" xfId="366"/>
    <cellStyle name="常规 34 3" xfId="629"/>
    <cellStyle name="常规 34 4" xfId="761"/>
    <cellStyle name="常规 35" xfId="405"/>
    <cellStyle name="常规 35 2" xfId="407"/>
    <cellStyle name="常规 35 3" xfId="636"/>
    <cellStyle name="常规 35 4" xfId="770"/>
    <cellStyle name="常规 36" xfId="357"/>
    <cellStyle name="常规 36 2" xfId="202"/>
    <cellStyle name="常规 36 3" xfId="582"/>
    <cellStyle name="常规 36 4" xfId="772"/>
    <cellStyle name="常规 37" xfId="302"/>
    <cellStyle name="常规 37 2" xfId="215"/>
    <cellStyle name="常规 37 3" xfId="585"/>
    <cellStyle name="常规 37 4" xfId="740"/>
    <cellStyle name="常规 38" xfId="323"/>
    <cellStyle name="常规 38 2" xfId="223"/>
    <cellStyle name="常规 38 3" xfId="617"/>
    <cellStyle name="常规 38 4" xfId="746"/>
    <cellStyle name="常规 39" xfId="1"/>
    <cellStyle name="常规 39 2" xfId="331"/>
    <cellStyle name="常规 39 3" xfId="623"/>
    <cellStyle name="常规 39 4" xfId="673"/>
    <cellStyle name="常规 4" xfId="396"/>
    <cellStyle name="常规 4 2" xfId="409"/>
    <cellStyle name="常规 4 2 2" xfId="410"/>
    <cellStyle name="常规 4 2 2 2" xfId="412"/>
    <cellStyle name="常规 4 2 2 3" xfId="20"/>
    <cellStyle name="常规 4 2 2 4" xfId="621"/>
    <cellStyle name="常规 4 2 2 5" xfId="775"/>
    <cellStyle name="常规 4 2 3" xfId="415"/>
    <cellStyle name="常规 4 2 3 2" xfId="418"/>
    <cellStyle name="常规 4 2 3 2 2" xfId="321"/>
    <cellStyle name="常规 4 2 3 2 3" xfId="637"/>
    <cellStyle name="常规 4 2 3 2 4" xfId="779"/>
    <cellStyle name="常规 4 2 3 3" xfId="421"/>
    <cellStyle name="常规 4 2 3 4" xfId="424"/>
    <cellStyle name="常规 4 2 3 5" xfId="639"/>
    <cellStyle name="常规 4 2 3 6" xfId="777"/>
    <cellStyle name="常规 4 2 4" xfId="425"/>
    <cellStyle name="常规 4 2 5" xfId="641"/>
    <cellStyle name="常规 4 2 6" xfId="774"/>
    <cellStyle name="常规 4 3" xfId="427"/>
    <cellStyle name="常规 4 3 2" xfId="428"/>
    <cellStyle name="常规 4 3 2 2" xfId="430"/>
    <cellStyle name="常规 4 3 2 3" xfId="87"/>
    <cellStyle name="常规 4 3 2 4" xfId="642"/>
    <cellStyle name="常规 4 3 2 5" xfId="782"/>
    <cellStyle name="常规 4 3 3" xfId="432"/>
    <cellStyle name="常规 4 3 4" xfId="434"/>
    <cellStyle name="常规 4 3 5" xfId="436"/>
    <cellStyle name="常规 4 3 6" xfId="644"/>
    <cellStyle name="常规 4 3 7" xfId="781"/>
    <cellStyle name="常规 4 4" xfId="411"/>
    <cellStyle name="常规 4 4 2" xfId="413"/>
    <cellStyle name="常规 4 4 3" xfId="21"/>
    <cellStyle name="常规 4 4 4" xfId="333"/>
    <cellStyle name="常规 4 4 5" xfId="645"/>
    <cellStyle name="常规 4 4 6" xfId="776"/>
    <cellStyle name="常规 4 5" xfId="416"/>
    <cellStyle name="常规 4 5 2" xfId="419"/>
    <cellStyle name="常规 4 5 3" xfId="422"/>
    <cellStyle name="常规 4 5 4" xfId="638"/>
    <cellStyle name="常规 4 5 5" xfId="778"/>
    <cellStyle name="常规 4 6" xfId="426"/>
    <cellStyle name="常规 4 7" xfId="640"/>
    <cellStyle name="常规 4 8" xfId="773"/>
    <cellStyle name="常规 40" xfId="406"/>
    <cellStyle name="常规 40 2" xfId="408"/>
    <cellStyle name="常规 40 3" xfId="635"/>
    <cellStyle name="常规 40 4" xfId="771"/>
    <cellStyle name="常规 41" xfId="358"/>
    <cellStyle name="常规 42" xfId="609"/>
    <cellStyle name="常规 5" xfId="123"/>
    <cellStyle name="常规 5 2" xfId="23"/>
    <cellStyle name="常规 5 2 2" xfId="27"/>
    <cellStyle name="常规 5 2 2 2" xfId="438"/>
    <cellStyle name="常规 5 2 2 3" xfId="439"/>
    <cellStyle name="常规 5 2 2 4" xfId="159"/>
    <cellStyle name="常规 5 2 2 5" xfId="570"/>
    <cellStyle name="常规 5 2 2 6" xfId="684"/>
    <cellStyle name="常规 5 2 3" xfId="28"/>
    <cellStyle name="常规 5 2 3 2" xfId="441"/>
    <cellStyle name="常规 5 2 3 3" xfId="442"/>
    <cellStyle name="常规 5 2 4" xfId="19"/>
    <cellStyle name="常规 5 2 5" xfId="111"/>
    <cellStyle name="常规 5 2 6" xfId="113"/>
    <cellStyle name="常规 5 2 7" xfId="646"/>
    <cellStyle name="常规 5 2 8" xfId="682"/>
    <cellStyle name="常规 5 3" xfId="443"/>
    <cellStyle name="常规 5 3 2" xfId="444"/>
    <cellStyle name="常规 5 3 2 2" xfId="395"/>
    <cellStyle name="常规 5 3 2 3" xfId="122"/>
    <cellStyle name="常规 5 3 2 4" xfId="540"/>
    <cellStyle name="常规 5 3 2 5" xfId="786"/>
    <cellStyle name="常规 5 3 3" xfId="445"/>
    <cellStyle name="常规 5 3 4" xfId="446"/>
    <cellStyle name="常规 5 3 5" xfId="647"/>
    <cellStyle name="常规 5 3 6" xfId="785"/>
    <cellStyle name="常规 5 4" xfId="429"/>
    <cellStyle name="常规 5 4 2" xfId="431"/>
    <cellStyle name="常规 5 4 3" xfId="88"/>
    <cellStyle name="常规 5 4 4" xfId="90"/>
    <cellStyle name="常规 5 4 5" xfId="648"/>
    <cellStyle name="常规 5 4 6" xfId="783"/>
    <cellStyle name="常规 5 5" xfId="433"/>
    <cellStyle name="常规 5 5 2" xfId="447"/>
    <cellStyle name="常规 5 5 3" xfId="94"/>
    <cellStyle name="常规 5 5 4" xfId="649"/>
    <cellStyle name="常规 5 5 5" xfId="787"/>
    <cellStyle name="常规 5 6" xfId="435"/>
    <cellStyle name="常规 5 6 2" xfId="448"/>
    <cellStyle name="常规 5 7" xfId="437"/>
    <cellStyle name="常规 5 8" xfId="643"/>
    <cellStyle name="常规 5 9" xfId="784"/>
    <cellStyle name="常规 6" xfId="15"/>
    <cellStyle name="常规 6 2" xfId="449"/>
    <cellStyle name="常规 6 2 2" xfId="206"/>
    <cellStyle name="常规 6 2 2 2" xfId="97"/>
    <cellStyle name="常规 6 2 2 3" xfId="99"/>
    <cellStyle name="常规 6 2 2 4" xfId="450"/>
    <cellStyle name="常规 6 2 2 5" xfId="650"/>
    <cellStyle name="常规 6 2 2 6" xfId="789"/>
    <cellStyle name="常规 6 2 3" xfId="37"/>
    <cellStyle name="常规 6 2 3 2" xfId="107"/>
    <cellStyle name="常规 6 2 3 3" xfId="42"/>
    <cellStyle name="常规 6 2 4" xfId="451"/>
    <cellStyle name="常规 6 2 5" xfId="138"/>
    <cellStyle name="常规 6 2 6" xfId="651"/>
    <cellStyle name="常规 6 2 7" xfId="788"/>
    <cellStyle name="常规 6 3" xfId="452"/>
    <cellStyle name="常规 6 3 2" xfId="453"/>
    <cellStyle name="常规 6 3 2 2" xfId="30"/>
    <cellStyle name="常规 6 3 2 3" xfId="45"/>
    <cellStyle name="常规 6 3 2 4" xfId="54"/>
    <cellStyle name="常规 6 3 2 5" xfId="652"/>
    <cellStyle name="常规 6 3 2 6" xfId="791"/>
    <cellStyle name="常规 6 3 3" xfId="454"/>
    <cellStyle name="常规 6 3 3 2" xfId="135"/>
    <cellStyle name="常规 6 3 3 3" xfId="24"/>
    <cellStyle name="常规 6 3 4" xfId="455"/>
    <cellStyle name="常规 6 3 5" xfId="456"/>
    <cellStyle name="常规 6 3 6" xfId="653"/>
    <cellStyle name="常规 6 3 7" xfId="790"/>
    <cellStyle name="常规 6 4" xfId="414"/>
    <cellStyle name="常规 6 4 2" xfId="231"/>
    <cellStyle name="常规 6 5" xfId="22"/>
    <cellStyle name="常规 6 5 2" xfId="379"/>
    <cellStyle name="常规 6 5 2 2" xfId="181"/>
    <cellStyle name="常规 6 5 2 3" xfId="183"/>
    <cellStyle name="常规 6 5 2 4" xfId="654"/>
    <cellStyle name="常规 6 5 2 5" xfId="792"/>
    <cellStyle name="常规 6 5 3" xfId="457"/>
    <cellStyle name="常规 6 5 4" xfId="458"/>
    <cellStyle name="常规 6 5 5" xfId="655"/>
    <cellStyle name="常规 6 5 6" xfId="680"/>
    <cellStyle name="常规 6 6" xfId="334"/>
    <cellStyle name="常规 6 6 2" xfId="459"/>
    <cellStyle name="常规 6 6 3" xfId="460"/>
    <cellStyle name="常规 6 6 4" xfId="461"/>
    <cellStyle name="常规 6 6 5" xfId="462"/>
    <cellStyle name="常规 6 6 6" xfId="656"/>
    <cellStyle name="常规 6 6 7" xfId="793"/>
    <cellStyle name="常规 6 7" xfId="463"/>
    <cellStyle name="常规 6 7 2" xfId="464"/>
    <cellStyle name="常规 7" xfId="125"/>
    <cellStyle name="常规 7 10" xfId="794"/>
    <cellStyle name="常规 7 2" xfId="465"/>
    <cellStyle name="常规 7 2 2" xfId="307"/>
    <cellStyle name="常规 7 2 2 2" xfId="375"/>
    <cellStyle name="常规 7 2 2 3" xfId="466"/>
    <cellStyle name="常规 7 2 2 4" xfId="467"/>
    <cellStyle name="常规 7 2 2 5" xfId="657"/>
    <cellStyle name="常规 7 2 2 6" xfId="796"/>
    <cellStyle name="常规 7 2 3" xfId="440"/>
    <cellStyle name="常规 7 2 3 2" xfId="468"/>
    <cellStyle name="常规 7 2 3 3" xfId="469"/>
    <cellStyle name="常规 7 2 4" xfId="470"/>
    <cellStyle name="常规 7 2 5" xfId="471"/>
    <cellStyle name="常规 7 2 6" xfId="658"/>
    <cellStyle name="常规 7 2 7" xfId="795"/>
    <cellStyle name="常规 7 3" xfId="472"/>
    <cellStyle name="常规 7 3 2" xfId="473"/>
    <cellStyle name="常规 7 3 2 2" xfId="474"/>
    <cellStyle name="常规 7 3 2 3" xfId="475"/>
    <cellStyle name="常规 7 3 2 4" xfId="476"/>
    <cellStyle name="常规 7 3 2 5" xfId="659"/>
    <cellStyle name="常规 7 3 2 6" xfId="797"/>
    <cellStyle name="常规 7 3 3" xfId="477"/>
    <cellStyle name="常规 7 3 3 2" xfId="478"/>
    <cellStyle name="常规 7 3 3 3" xfId="479"/>
    <cellStyle name="常规 7 3 4" xfId="480"/>
    <cellStyle name="常规 7 3 5" xfId="481"/>
    <cellStyle name="常规 7 3 6" xfId="660"/>
    <cellStyle name="常规 7 3 7" xfId="678"/>
    <cellStyle name="常规 7 4" xfId="417"/>
    <cellStyle name="常规 7 4 2" xfId="320"/>
    <cellStyle name="常规 7 4 2 2" xfId="482"/>
    <cellStyle name="常规 7 4 2 3" xfId="483"/>
    <cellStyle name="常规 7 4 2 4" xfId="484"/>
    <cellStyle name="常规 7 4 2 5" xfId="661"/>
    <cellStyle name="常规 7 4 2 6" xfId="798"/>
    <cellStyle name="常规 7 4 3" xfId="485"/>
    <cellStyle name="常规 7 4 3 2" xfId="486"/>
    <cellStyle name="常规 7 4 3 3" xfId="487"/>
    <cellStyle name="常规 7 4 4" xfId="488"/>
    <cellStyle name="常规 7 4 5" xfId="489"/>
    <cellStyle name="常规 7 4 6" xfId="662"/>
    <cellStyle name="常规 7 4 7" xfId="780"/>
    <cellStyle name="常规 7 5" xfId="420"/>
    <cellStyle name="常规 7 5 2" xfId="490"/>
    <cellStyle name="常规 7 5 3" xfId="491"/>
    <cellStyle name="常规 7 5 4" xfId="492"/>
    <cellStyle name="常规 7 5 5" xfId="493"/>
    <cellStyle name="常规 7 5 6" xfId="663"/>
    <cellStyle name="常规 7 5 7" xfId="799"/>
    <cellStyle name="常规 7 6" xfId="423"/>
    <cellStyle name="常规 7 6 2" xfId="494"/>
    <cellStyle name="常规 7 6 3" xfId="495"/>
    <cellStyle name="常规 7 6 4" xfId="496"/>
    <cellStyle name="常规 7 6 5" xfId="664"/>
    <cellStyle name="常规 7 6 6" xfId="800"/>
    <cellStyle name="常规 7 7" xfId="497"/>
    <cellStyle name="常规 7 8" xfId="498"/>
    <cellStyle name="常规 7 9" xfId="665"/>
    <cellStyle name="常规 8" xfId="499"/>
    <cellStyle name="常规 8 2" xfId="500"/>
    <cellStyle name="常规 8 2 2" xfId="501"/>
    <cellStyle name="常规 8 2 2 2" xfId="502"/>
    <cellStyle name="常规 8 2 2 3" xfId="503"/>
    <cellStyle name="常规 8 2 2 4" xfId="504"/>
    <cellStyle name="常规 8 2 2 5" xfId="666"/>
    <cellStyle name="常规 8 2 2 6" xfId="802"/>
    <cellStyle name="常规 8 2 3" xfId="505"/>
    <cellStyle name="常规 8 2 3 2" xfId="506"/>
    <cellStyle name="常规 8 2 3 3" xfId="26"/>
    <cellStyle name="常规 8 2 4" xfId="507"/>
    <cellStyle name="常规 8 2 5" xfId="508"/>
    <cellStyle name="常规 8 2 6" xfId="667"/>
    <cellStyle name="常规 8 2 7" xfId="689"/>
    <cellStyle name="常规 8 3" xfId="509"/>
    <cellStyle name="常规 8 3 2" xfId="510"/>
    <cellStyle name="常规 8 3 3" xfId="511"/>
    <cellStyle name="常规 8 3 4" xfId="512"/>
    <cellStyle name="常规 8 3 5" xfId="668"/>
    <cellStyle name="常规 8 3 6" xfId="687"/>
    <cellStyle name="常规 8 4" xfId="513"/>
    <cellStyle name="常规 8 4 2" xfId="514"/>
    <cellStyle name="常规 8 4 3" xfId="515"/>
    <cellStyle name="常规 8 5" xfId="516"/>
    <cellStyle name="常规 8 6" xfId="517"/>
    <cellStyle name="常规 8 7" xfId="669"/>
    <cellStyle name="常规 8 8" xfId="801"/>
    <cellStyle name="常规 9" xfId="518"/>
    <cellStyle name="常规 9 2" xfId="519"/>
    <cellStyle name="常规 9 2 2" xfId="520"/>
    <cellStyle name="常规 9 2 2 2" xfId="521"/>
    <cellStyle name="常规 9 2 2 3" xfId="522"/>
    <cellStyle name="常规 9 2 2 4" xfId="523"/>
    <cellStyle name="常规 9 2 2 5" xfId="670"/>
    <cellStyle name="常规 9 2 2 6" xfId="805"/>
    <cellStyle name="常规 9 2 3" xfId="524"/>
    <cellStyle name="常规 9 2 3 2" xfId="525"/>
    <cellStyle name="常规 9 2 3 3" xfId="526"/>
    <cellStyle name="常规 9 2 4" xfId="527"/>
    <cellStyle name="常规 9 2 5" xfId="528"/>
    <cellStyle name="常规 9 2 6" xfId="586"/>
    <cellStyle name="常规 9 2 7" xfId="804"/>
    <cellStyle name="常规 9 3" xfId="529"/>
    <cellStyle name="常规 9 3 2" xfId="530"/>
    <cellStyle name="常规 9 3 3" xfId="531"/>
    <cellStyle name="常规 9 3 4" xfId="532"/>
    <cellStyle name="常规 9 3 5" xfId="671"/>
    <cellStyle name="常规 9 3 6" xfId="806"/>
    <cellStyle name="常规 9 4" xfId="533"/>
    <cellStyle name="常规 9 4 2" xfId="534"/>
    <cellStyle name="常规 9 4 3" xfId="535"/>
    <cellStyle name="常规 9 5" xfId="536"/>
    <cellStyle name="常规 9 6" xfId="537"/>
    <cellStyle name="常规 9 7" xfId="672"/>
    <cellStyle name="常规 9 8" xfId="803"/>
  </cellStyles>
  <dxfs count="0"/>
  <tableStyles count="0" defaultTableStyle="TableStyleMedium2" defaultPivotStyle="PivotStyleLight16"/>
  <colors>
    <mruColors>
      <color rgb="FF00000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79"/>
  <sheetViews>
    <sheetView view="pageBreakPreview" zoomScale="96" zoomScaleNormal="70" zoomScaleSheetLayoutView="96" workbookViewId="0">
      <pane xSplit="6" ySplit="3" topLeftCell="G43" activePane="bottomRight" state="frozen"/>
      <selection pane="topRight"/>
      <selection pane="bottomLeft"/>
      <selection pane="bottomRight" activeCell="B49" sqref="B49"/>
    </sheetView>
  </sheetViews>
  <sheetFormatPr defaultColWidth="9" defaultRowHeight="12"/>
  <cols>
    <col min="1" max="1" width="7.375" style="106" customWidth="1"/>
    <col min="2" max="2" width="16.5" style="1" customWidth="1"/>
    <col min="3" max="3" width="5.125" style="1" customWidth="1"/>
    <col min="4" max="4" width="11.125" style="107" customWidth="1"/>
    <col min="5" max="5" width="12.125" style="1" customWidth="1"/>
    <col min="6" max="6" width="10.75" style="1" customWidth="1"/>
    <col min="7" max="7" width="45.25" style="1" customWidth="1"/>
    <col min="8" max="8" width="60.125" style="1" customWidth="1"/>
    <col min="9" max="16384" width="9" style="1"/>
  </cols>
  <sheetData>
    <row r="1" spans="1:8" ht="48" customHeight="1" thickBot="1">
      <c r="A1" s="248" t="s">
        <v>243</v>
      </c>
      <c r="B1" s="247"/>
      <c r="C1" s="247"/>
      <c r="D1" s="247"/>
      <c r="E1" s="247"/>
      <c r="F1" s="247"/>
      <c r="G1" s="247"/>
      <c r="H1" s="247"/>
    </row>
    <row r="2" spans="1:8" ht="43.5" customHeight="1">
      <c r="A2" s="8" t="s">
        <v>0</v>
      </c>
      <c r="B2" s="9" t="s">
        <v>1</v>
      </c>
      <c r="C2" s="9" t="s">
        <v>2</v>
      </c>
      <c r="D2" s="9" t="s">
        <v>3</v>
      </c>
      <c r="E2" s="10" t="s">
        <v>283</v>
      </c>
      <c r="F2" s="9" t="s">
        <v>4</v>
      </c>
      <c r="G2" s="9" t="s">
        <v>5</v>
      </c>
      <c r="H2" s="9" t="s">
        <v>6</v>
      </c>
    </row>
    <row r="3" spans="1:8" ht="24" customHeight="1">
      <c r="A3" s="130" t="s">
        <v>7</v>
      </c>
      <c r="B3" s="131"/>
      <c r="C3" s="131"/>
      <c r="D3" s="11"/>
      <c r="E3" s="12"/>
      <c r="F3" s="13"/>
      <c r="G3" s="14"/>
      <c r="H3" s="14"/>
    </row>
    <row r="4" spans="1:8" ht="222" customHeight="1">
      <c r="A4" s="15" t="s">
        <v>8</v>
      </c>
      <c r="B4" s="16" t="s">
        <v>9</v>
      </c>
      <c r="C4" s="17" t="s">
        <v>10</v>
      </c>
      <c r="D4" s="18">
        <v>1</v>
      </c>
      <c r="E4" s="19">
        <v>84278</v>
      </c>
      <c r="F4" s="20">
        <f>ROUND(D4*E4,0)</f>
        <v>84278</v>
      </c>
      <c r="G4" s="21" t="s">
        <v>11</v>
      </c>
      <c r="H4" s="22" t="s">
        <v>12</v>
      </c>
    </row>
    <row r="5" spans="1:8" ht="127.5" customHeight="1">
      <c r="A5" s="23" t="s">
        <v>13</v>
      </c>
      <c r="B5" s="22" t="s">
        <v>14</v>
      </c>
      <c r="C5" s="24" t="s">
        <v>15</v>
      </c>
      <c r="D5" s="24">
        <v>1</v>
      </c>
      <c r="E5" s="25">
        <v>147251</v>
      </c>
      <c r="F5" s="20">
        <f t="shared" ref="F5:F68" si="0">ROUND(D5*E5,0)</f>
        <v>147251</v>
      </c>
      <c r="G5" s="22" t="s">
        <v>16</v>
      </c>
      <c r="H5" s="22" t="s">
        <v>17</v>
      </c>
    </row>
    <row r="6" spans="1:8" ht="20.100000000000001" customHeight="1">
      <c r="A6" s="26" t="s">
        <v>18</v>
      </c>
      <c r="B6" s="27" t="s">
        <v>19</v>
      </c>
      <c r="C6" s="28"/>
      <c r="D6" s="28"/>
      <c r="E6" s="24"/>
      <c r="F6" s="20">
        <f t="shared" si="0"/>
        <v>0</v>
      </c>
      <c r="G6" s="123"/>
      <c r="H6" s="123"/>
    </row>
    <row r="7" spans="1:8" ht="90.95" customHeight="1">
      <c r="A7" s="26" t="s">
        <v>20</v>
      </c>
      <c r="B7" s="27" t="s">
        <v>21</v>
      </c>
      <c r="C7" s="28" t="s">
        <v>22</v>
      </c>
      <c r="D7" s="39">
        <f>8337+37306</f>
        <v>45643</v>
      </c>
      <c r="E7" s="30">
        <v>8.5728500000000007</v>
      </c>
      <c r="F7" s="20">
        <f t="shared" si="0"/>
        <v>391291</v>
      </c>
      <c r="G7" s="31" t="s">
        <v>23</v>
      </c>
      <c r="H7" s="32" t="s">
        <v>270</v>
      </c>
    </row>
    <row r="8" spans="1:8" ht="39.950000000000003" customHeight="1">
      <c r="A8" s="26" t="s">
        <v>24</v>
      </c>
      <c r="B8" s="27" t="s">
        <v>25</v>
      </c>
      <c r="C8" s="28" t="s">
        <v>26</v>
      </c>
      <c r="D8" s="28">
        <v>602</v>
      </c>
      <c r="E8" s="30">
        <v>6.71</v>
      </c>
      <c r="F8" s="20">
        <f t="shared" si="0"/>
        <v>4039</v>
      </c>
      <c r="G8" s="22" t="s">
        <v>27</v>
      </c>
      <c r="H8" s="22" t="s">
        <v>28</v>
      </c>
    </row>
    <row r="9" spans="1:8" ht="20.100000000000001" customHeight="1">
      <c r="A9" s="26" t="s">
        <v>29</v>
      </c>
      <c r="B9" s="27" t="s">
        <v>30</v>
      </c>
      <c r="C9" s="28"/>
      <c r="D9" s="28"/>
      <c r="E9" s="30"/>
      <c r="F9" s="20"/>
      <c r="G9" s="22"/>
      <c r="H9" s="22"/>
    </row>
    <row r="10" spans="1:8" ht="102" customHeight="1">
      <c r="A10" s="26" t="s">
        <v>20</v>
      </c>
      <c r="B10" s="27" t="s">
        <v>31</v>
      </c>
      <c r="C10" s="28" t="s">
        <v>22</v>
      </c>
      <c r="D10" s="28">
        <f>22320.6+34432</f>
        <v>56752.6</v>
      </c>
      <c r="E10" s="30">
        <v>6.27</v>
      </c>
      <c r="F10" s="20">
        <f t="shared" si="0"/>
        <v>355839</v>
      </c>
      <c r="G10" s="22" t="s">
        <v>32</v>
      </c>
      <c r="H10" s="22" t="s">
        <v>33</v>
      </c>
    </row>
    <row r="11" spans="1:8">
      <c r="A11" s="26" t="s">
        <v>34</v>
      </c>
      <c r="B11" s="27" t="s">
        <v>35</v>
      </c>
      <c r="C11" s="28"/>
      <c r="D11" s="28"/>
      <c r="E11" s="30"/>
      <c r="F11" s="20"/>
      <c r="G11" s="22"/>
      <c r="H11" s="22"/>
    </row>
    <row r="12" spans="1:8" ht="42" customHeight="1">
      <c r="A12" s="26" t="s">
        <v>36</v>
      </c>
      <c r="B12" s="27" t="s">
        <v>37</v>
      </c>
      <c r="C12" s="28" t="s">
        <v>22</v>
      </c>
      <c r="D12" s="28">
        <f>8342.6+2039.2</f>
        <v>10381.800000000001</v>
      </c>
      <c r="E12" s="30">
        <v>8.42</v>
      </c>
      <c r="F12" s="20">
        <f t="shared" si="0"/>
        <v>87415</v>
      </c>
      <c r="G12" s="132" t="s">
        <v>38</v>
      </c>
      <c r="H12" s="133" t="s">
        <v>269</v>
      </c>
    </row>
    <row r="13" spans="1:8" ht="42" customHeight="1">
      <c r="A13" s="26" t="s">
        <v>40</v>
      </c>
      <c r="B13" s="27" t="s">
        <v>41</v>
      </c>
      <c r="C13" s="28" t="s">
        <v>22</v>
      </c>
      <c r="D13" s="28">
        <v>500.2</v>
      </c>
      <c r="E13" s="30">
        <v>29.21</v>
      </c>
      <c r="F13" s="20">
        <f t="shared" si="0"/>
        <v>14611</v>
      </c>
      <c r="G13" s="132"/>
      <c r="H13" s="133"/>
    </row>
    <row r="14" spans="1:8" ht="42" customHeight="1">
      <c r="A14" s="26" t="s">
        <v>42</v>
      </c>
      <c r="B14" s="27" t="s">
        <v>43</v>
      </c>
      <c r="C14" s="28" t="s">
        <v>22</v>
      </c>
      <c r="D14" s="28">
        <v>198171</v>
      </c>
      <c r="E14" s="30">
        <v>25.57</v>
      </c>
      <c r="F14" s="20">
        <f t="shared" si="0"/>
        <v>5067232</v>
      </c>
      <c r="G14" s="132"/>
      <c r="H14" s="133"/>
    </row>
    <row r="15" spans="1:8" ht="95.1" customHeight="1">
      <c r="A15" s="26" t="s">
        <v>24</v>
      </c>
      <c r="B15" s="27" t="s">
        <v>44</v>
      </c>
      <c r="C15" s="28" t="s">
        <v>22</v>
      </c>
      <c r="D15" s="28">
        <f>1499+471</f>
        <v>1970</v>
      </c>
      <c r="E15" s="30">
        <v>7.6</v>
      </c>
      <c r="F15" s="20">
        <f t="shared" si="0"/>
        <v>14972</v>
      </c>
      <c r="G15" s="31" t="s">
        <v>45</v>
      </c>
      <c r="H15" s="32" t="s">
        <v>268</v>
      </c>
    </row>
    <row r="16" spans="1:8" ht="98.1" customHeight="1">
      <c r="A16" s="26" t="s">
        <v>46</v>
      </c>
      <c r="B16" s="27" t="s">
        <v>47</v>
      </c>
      <c r="C16" s="28" t="s">
        <v>22</v>
      </c>
      <c r="D16" s="28">
        <f>4199+2617.4</f>
        <v>6816.4</v>
      </c>
      <c r="E16" s="30">
        <v>20.8</v>
      </c>
      <c r="F16" s="20">
        <f t="shared" si="0"/>
        <v>141781</v>
      </c>
      <c r="G16" s="35" t="s">
        <v>48</v>
      </c>
      <c r="H16" s="35" t="s">
        <v>49</v>
      </c>
    </row>
    <row r="17" spans="1:8" ht="70.5" customHeight="1">
      <c r="A17" s="26" t="s">
        <v>50</v>
      </c>
      <c r="B17" s="27" t="s">
        <v>51</v>
      </c>
      <c r="C17" s="28" t="s">
        <v>22</v>
      </c>
      <c r="D17" s="28">
        <v>2116</v>
      </c>
      <c r="E17" s="30">
        <v>3.13</v>
      </c>
      <c r="F17" s="20">
        <f t="shared" si="0"/>
        <v>6623</v>
      </c>
      <c r="G17" s="36" t="s">
        <v>52</v>
      </c>
      <c r="H17" s="36" t="s">
        <v>53</v>
      </c>
    </row>
    <row r="18" spans="1:8" ht="24">
      <c r="A18" s="26" t="s">
        <v>54</v>
      </c>
      <c r="B18" s="27" t="s">
        <v>55</v>
      </c>
      <c r="C18" s="28"/>
      <c r="D18" s="28"/>
      <c r="E18" s="30"/>
      <c r="F18" s="20"/>
      <c r="G18" s="22"/>
      <c r="H18" s="22"/>
    </row>
    <row r="19" spans="1:8" ht="23.1" customHeight="1">
      <c r="A19" s="26" t="s">
        <v>20</v>
      </c>
      <c r="B19" s="27" t="s">
        <v>56</v>
      </c>
      <c r="C19" s="28"/>
      <c r="D19" s="28"/>
      <c r="E19" s="30"/>
      <c r="F19" s="20"/>
      <c r="G19" s="22"/>
      <c r="H19" s="22"/>
    </row>
    <row r="20" spans="1:8" ht="100.5" customHeight="1">
      <c r="A20" s="26" t="s">
        <v>36</v>
      </c>
      <c r="B20" s="27" t="s">
        <v>57</v>
      </c>
      <c r="C20" s="28" t="s">
        <v>22</v>
      </c>
      <c r="D20" s="28">
        <v>8490</v>
      </c>
      <c r="E20" s="30">
        <v>6.13</v>
      </c>
      <c r="F20" s="20">
        <f t="shared" si="0"/>
        <v>52044</v>
      </c>
      <c r="G20" s="22" t="s">
        <v>58</v>
      </c>
      <c r="H20" s="22" t="s">
        <v>59</v>
      </c>
    </row>
    <row r="21" spans="1:8" ht="100.5" customHeight="1">
      <c r="A21" s="26" t="s">
        <v>40</v>
      </c>
      <c r="B21" s="27" t="s">
        <v>60</v>
      </c>
      <c r="C21" s="28" t="s">
        <v>22</v>
      </c>
      <c r="D21" s="28">
        <v>644</v>
      </c>
      <c r="E21" s="30">
        <v>6.13</v>
      </c>
      <c r="F21" s="20">
        <f t="shared" si="0"/>
        <v>3948</v>
      </c>
      <c r="G21" s="22" t="s">
        <v>58</v>
      </c>
      <c r="H21" s="54" t="s">
        <v>267</v>
      </c>
    </row>
    <row r="22" spans="1:8" ht="24">
      <c r="A22" s="26" t="s">
        <v>61</v>
      </c>
      <c r="B22" s="27" t="s">
        <v>62</v>
      </c>
      <c r="C22" s="28"/>
      <c r="D22" s="28"/>
      <c r="E22" s="30"/>
      <c r="F22" s="20"/>
      <c r="G22" s="22"/>
      <c r="H22" s="22"/>
    </row>
    <row r="23" spans="1:8" ht="89.1" customHeight="1">
      <c r="A23" s="37" t="s">
        <v>20</v>
      </c>
      <c r="B23" s="27" t="s">
        <v>63</v>
      </c>
      <c r="C23" s="38" t="s">
        <v>22</v>
      </c>
      <c r="D23" s="39">
        <f>5232.1+14112</f>
        <v>19344.099999999999</v>
      </c>
      <c r="E23" s="30">
        <v>11.87</v>
      </c>
      <c r="F23" s="20">
        <f t="shared" si="0"/>
        <v>229614</v>
      </c>
      <c r="G23" s="54" t="s">
        <v>266</v>
      </c>
      <c r="H23" s="40" t="s">
        <v>271</v>
      </c>
    </row>
    <row r="24" spans="1:8" ht="159.94999999999999" customHeight="1">
      <c r="A24" s="26" t="s">
        <v>34</v>
      </c>
      <c r="B24" s="27" t="s">
        <v>65</v>
      </c>
      <c r="C24" s="28" t="s">
        <v>22</v>
      </c>
      <c r="D24" s="28">
        <f>22320.6+7933+34432</f>
        <v>64685.599999999999</v>
      </c>
      <c r="E24" s="30">
        <v>3.31</v>
      </c>
      <c r="F24" s="20">
        <f t="shared" si="0"/>
        <v>214109</v>
      </c>
      <c r="G24" s="41" t="s">
        <v>66</v>
      </c>
      <c r="H24" s="42" t="s">
        <v>265</v>
      </c>
    </row>
    <row r="25" spans="1:8" ht="158.25" customHeight="1">
      <c r="A25" s="26" t="s">
        <v>24</v>
      </c>
      <c r="B25" s="27" t="s">
        <v>68</v>
      </c>
      <c r="C25" s="28" t="s">
        <v>22</v>
      </c>
      <c r="D25" s="28">
        <f>8342.6+200710.4</f>
        <v>209053</v>
      </c>
      <c r="E25" s="30">
        <v>4.41</v>
      </c>
      <c r="F25" s="20">
        <f t="shared" si="0"/>
        <v>921924</v>
      </c>
      <c r="G25" s="43" t="s">
        <v>69</v>
      </c>
      <c r="H25" s="42" t="s">
        <v>70</v>
      </c>
    </row>
    <row r="26" spans="1:8" ht="183.75" customHeight="1">
      <c r="A26" s="26" t="s">
        <v>46</v>
      </c>
      <c r="B26" s="27" t="s">
        <v>71</v>
      </c>
      <c r="C26" s="28" t="s">
        <v>22</v>
      </c>
      <c r="D26" s="116">
        <f>98494.1+2274.4</f>
        <v>100768.5</v>
      </c>
      <c r="E26" s="30">
        <v>10.130000000000001</v>
      </c>
      <c r="F26" s="20">
        <f t="shared" si="0"/>
        <v>1020785</v>
      </c>
      <c r="G26" s="45" t="s">
        <v>72</v>
      </c>
      <c r="H26" s="46" t="s">
        <v>73</v>
      </c>
    </row>
    <row r="27" spans="1:8" ht="93.75" customHeight="1">
      <c r="A27" s="26" t="s">
        <v>74</v>
      </c>
      <c r="B27" s="27" t="s">
        <v>75</v>
      </c>
      <c r="C27" s="28" t="s">
        <v>22</v>
      </c>
      <c r="D27" s="39">
        <v>9404</v>
      </c>
      <c r="E27" s="30">
        <v>7.19</v>
      </c>
      <c r="F27" s="20">
        <f t="shared" si="0"/>
        <v>67615</v>
      </c>
      <c r="G27" s="47" t="s">
        <v>76</v>
      </c>
      <c r="H27" s="48" t="s">
        <v>264</v>
      </c>
    </row>
    <row r="28" spans="1:8" ht="68.25" customHeight="1">
      <c r="A28" s="26" t="s">
        <v>78</v>
      </c>
      <c r="B28" s="27" t="s">
        <v>79</v>
      </c>
      <c r="C28" s="28" t="s">
        <v>22</v>
      </c>
      <c r="D28" s="28">
        <v>7332</v>
      </c>
      <c r="E28" s="30">
        <v>13.63</v>
      </c>
      <c r="F28" s="20">
        <f t="shared" si="0"/>
        <v>99935</v>
      </c>
      <c r="G28" s="29" t="s">
        <v>80</v>
      </c>
      <c r="H28" s="48" t="s">
        <v>81</v>
      </c>
    </row>
    <row r="29" spans="1:8" ht="18" customHeight="1">
      <c r="A29" s="26" t="s">
        <v>82</v>
      </c>
      <c r="B29" s="27" t="s">
        <v>83</v>
      </c>
      <c r="C29" s="28"/>
      <c r="D29" s="39"/>
      <c r="E29" s="30"/>
      <c r="F29" s="20"/>
      <c r="G29" s="47"/>
      <c r="H29" s="35"/>
    </row>
    <row r="30" spans="1:8" ht="144" customHeight="1">
      <c r="A30" s="26" t="s">
        <v>20</v>
      </c>
      <c r="B30" s="27" t="s">
        <v>65</v>
      </c>
      <c r="C30" s="28" t="s">
        <v>22</v>
      </c>
      <c r="D30" s="39">
        <v>557</v>
      </c>
      <c r="E30" s="30">
        <v>3.17</v>
      </c>
      <c r="F30" s="20">
        <f t="shared" si="0"/>
        <v>1766</v>
      </c>
      <c r="G30" s="41" t="s">
        <v>84</v>
      </c>
      <c r="H30" s="42" t="s">
        <v>85</v>
      </c>
    </row>
    <row r="31" spans="1:8">
      <c r="A31" s="26" t="s">
        <v>86</v>
      </c>
      <c r="B31" s="27" t="s">
        <v>87</v>
      </c>
      <c r="C31" s="28"/>
      <c r="D31" s="28"/>
      <c r="E31" s="30"/>
      <c r="F31" s="20"/>
      <c r="G31" s="22"/>
      <c r="H31" s="22"/>
    </row>
    <row r="32" spans="1:8">
      <c r="A32" s="26" t="s">
        <v>34</v>
      </c>
      <c r="B32" s="27" t="s">
        <v>88</v>
      </c>
      <c r="C32" s="28"/>
      <c r="D32" s="28"/>
      <c r="E32" s="30"/>
      <c r="F32" s="20"/>
      <c r="G32" s="22"/>
      <c r="H32" s="22"/>
    </row>
    <row r="33" spans="1:8" ht="87" customHeight="1">
      <c r="A33" s="26" t="s">
        <v>36</v>
      </c>
      <c r="B33" s="27" t="s">
        <v>89</v>
      </c>
      <c r="C33" s="28" t="s">
        <v>90</v>
      </c>
      <c r="D33" s="28">
        <v>1176</v>
      </c>
      <c r="E33" s="30">
        <v>1</v>
      </c>
      <c r="F33" s="20">
        <f t="shared" si="0"/>
        <v>1176</v>
      </c>
      <c r="G33" s="49" t="s">
        <v>295</v>
      </c>
      <c r="H33" s="49" t="s">
        <v>273</v>
      </c>
    </row>
    <row r="34" spans="1:8" ht="84.95" customHeight="1">
      <c r="A34" s="26" t="s">
        <v>40</v>
      </c>
      <c r="B34" s="50" t="s">
        <v>93</v>
      </c>
      <c r="C34" s="28" t="s">
        <v>90</v>
      </c>
      <c r="D34" s="28">
        <v>11670</v>
      </c>
      <c r="E34" s="30">
        <v>1</v>
      </c>
      <c r="F34" s="20">
        <f t="shared" si="0"/>
        <v>11670</v>
      </c>
      <c r="G34" s="49" t="s">
        <v>297</v>
      </c>
      <c r="H34" s="49" t="s">
        <v>263</v>
      </c>
    </row>
    <row r="35" spans="1:8" ht="86.1" customHeight="1">
      <c r="A35" s="26" t="s">
        <v>42</v>
      </c>
      <c r="B35" s="22" t="s">
        <v>96</v>
      </c>
      <c r="C35" s="28" t="s">
        <v>90</v>
      </c>
      <c r="D35" s="28">
        <v>2640</v>
      </c>
      <c r="E35" s="30">
        <v>1</v>
      </c>
      <c r="F35" s="20">
        <f t="shared" si="0"/>
        <v>2640</v>
      </c>
      <c r="G35" s="49" t="s">
        <v>297</v>
      </c>
      <c r="H35" s="49" t="s">
        <v>263</v>
      </c>
    </row>
    <row r="36" spans="1:8">
      <c r="A36" s="26" t="s">
        <v>97</v>
      </c>
      <c r="B36" s="27" t="s">
        <v>98</v>
      </c>
      <c r="C36" s="28"/>
      <c r="D36" s="28"/>
      <c r="E36" s="30"/>
      <c r="F36" s="20"/>
      <c r="G36" s="22"/>
      <c r="H36" s="22"/>
    </row>
    <row r="37" spans="1:8" ht="80.25" customHeight="1">
      <c r="A37" s="26" t="s">
        <v>20</v>
      </c>
      <c r="B37" s="27" t="s">
        <v>99</v>
      </c>
      <c r="C37" s="28" t="s">
        <v>100</v>
      </c>
      <c r="D37" s="28">
        <v>518</v>
      </c>
      <c r="E37" s="30">
        <v>273.54000000000002</v>
      </c>
      <c r="F37" s="20">
        <f t="shared" si="0"/>
        <v>141694</v>
      </c>
      <c r="G37" s="54" t="s">
        <v>261</v>
      </c>
      <c r="H37" s="48" t="s">
        <v>262</v>
      </c>
    </row>
    <row r="38" spans="1:8" ht="87" customHeight="1">
      <c r="A38" s="26" t="s">
        <v>24</v>
      </c>
      <c r="B38" s="27" t="s">
        <v>102</v>
      </c>
      <c r="C38" s="28" t="s">
        <v>100</v>
      </c>
      <c r="D38" s="28">
        <f>5785.4+15</f>
        <v>5800.4</v>
      </c>
      <c r="E38" s="30">
        <v>261.49</v>
      </c>
      <c r="F38" s="20">
        <f t="shared" si="0"/>
        <v>1516747</v>
      </c>
      <c r="G38" s="22" t="s">
        <v>101</v>
      </c>
      <c r="H38" s="48" t="s">
        <v>260</v>
      </c>
    </row>
    <row r="39" spans="1:8" ht="27.95" customHeight="1">
      <c r="A39" s="51" t="s">
        <v>103</v>
      </c>
      <c r="B39" s="52" t="s">
        <v>104</v>
      </c>
      <c r="C39" s="105"/>
      <c r="D39" s="53"/>
      <c r="E39" s="30"/>
      <c r="F39" s="20"/>
      <c r="G39" s="35"/>
      <c r="H39" s="35"/>
    </row>
    <row r="40" spans="1:8" ht="102" customHeight="1">
      <c r="A40" s="51" t="s">
        <v>20</v>
      </c>
      <c r="B40" s="124" t="s">
        <v>255</v>
      </c>
      <c r="C40" s="53" t="s">
        <v>100</v>
      </c>
      <c r="D40" s="53">
        <v>480</v>
      </c>
      <c r="E40" s="30">
        <v>346.22</v>
      </c>
      <c r="F40" s="20">
        <f t="shared" si="0"/>
        <v>166186</v>
      </c>
      <c r="G40" s="54" t="s">
        <v>256</v>
      </c>
      <c r="H40" s="48" t="s">
        <v>257</v>
      </c>
    </row>
    <row r="41" spans="1:8" ht="24" customHeight="1">
      <c r="A41" s="51" t="s">
        <v>105</v>
      </c>
      <c r="B41" s="52" t="s">
        <v>106</v>
      </c>
      <c r="C41" s="53"/>
      <c r="D41" s="53"/>
      <c r="E41" s="30"/>
      <c r="F41" s="20"/>
      <c r="G41" s="35"/>
      <c r="H41" s="35"/>
    </row>
    <row r="42" spans="1:8" ht="84.95" customHeight="1">
      <c r="A42" s="51" t="s">
        <v>20</v>
      </c>
      <c r="B42" s="52" t="s">
        <v>107</v>
      </c>
      <c r="C42" s="53" t="s">
        <v>100</v>
      </c>
      <c r="D42" s="53">
        <v>155.30000000000001</v>
      </c>
      <c r="E42" s="30">
        <v>991.39</v>
      </c>
      <c r="F42" s="20">
        <f t="shared" si="0"/>
        <v>153963</v>
      </c>
      <c r="G42" s="54" t="s">
        <v>258</v>
      </c>
      <c r="H42" s="48" t="s">
        <v>259</v>
      </c>
    </row>
    <row r="43" spans="1:8" ht="32.1" customHeight="1">
      <c r="A43" s="51" t="s">
        <v>108</v>
      </c>
      <c r="B43" s="52" t="s">
        <v>109</v>
      </c>
      <c r="C43" s="53"/>
      <c r="D43" s="53"/>
      <c r="E43" s="30"/>
      <c r="F43" s="20"/>
      <c r="G43" s="35"/>
      <c r="H43" s="35"/>
    </row>
    <row r="44" spans="1:8" ht="86.25" customHeight="1">
      <c r="A44" s="51" t="s">
        <v>20</v>
      </c>
      <c r="B44" s="52" t="s">
        <v>110</v>
      </c>
      <c r="C44" s="53" t="s">
        <v>100</v>
      </c>
      <c r="D44" s="53">
        <v>235</v>
      </c>
      <c r="E44" s="30">
        <v>103.18</v>
      </c>
      <c r="F44" s="20">
        <f t="shared" si="0"/>
        <v>24247</v>
      </c>
      <c r="G44" s="35" t="s">
        <v>111</v>
      </c>
      <c r="H44" s="48" t="s">
        <v>254</v>
      </c>
    </row>
    <row r="45" spans="1:8" ht="96" customHeight="1">
      <c r="A45" s="51" t="s">
        <v>24</v>
      </c>
      <c r="B45" s="52" t="s">
        <v>112</v>
      </c>
      <c r="C45" s="53" t="s">
        <v>100</v>
      </c>
      <c r="D45" s="53">
        <v>235</v>
      </c>
      <c r="E45" s="30">
        <v>146.87</v>
      </c>
      <c r="F45" s="20">
        <f t="shared" si="0"/>
        <v>34514</v>
      </c>
      <c r="G45" s="35" t="s">
        <v>113</v>
      </c>
      <c r="H45" s="35" t="s">
        <v>114</v>
      </c>
    </row>
    <row r="46" spans="1:8" ht="30" customHeight="1">
      <c r="A46" s="55" t="s">
        <v>115</v>
      </c>
      <c r="B46" s="40" t="s">
        <v>116</v>
      </c>
      <c r="C46" s="56"/>
      <c r="D46" s="56"/>
      <c r="E46" s="30"/>
      <c r="F46" s="20"/>
      <c r="G46" s="40"/>
      <c r="H46" s="40"/>
    </row>
    <row r="47" spans="1:8" ht="76.5" customHeight="1">
      <c r="A47" s="55" t="s">
        <v>20</v>
      </c>
      <c r="B47" s="40" t="s">
        <v>117</v>
      </c>
      <c r="C47" s="56" t="s">
        <v>22</v>
      </c>
      <c r="D47" s="56">
        <v>395.2</v>
      </c>
      <c r="E47" s="30">
        <v>345.41</v>
      </c>
      <c r="F47" s="20">
        <f t="shared" si="0"/>
        <v>136506</v>
      </c>
      <c r="G47" s="40" t="s">
        <v>119</v>
      </c>
      <c r="H47" s="40" t="s">
        <v>253</v>
      </c>
    </row>
    <row r="48" spans="1:8" ht="96" customHeight="1">
      <c r="A48" s="55" t="s">
        <v>34</v>
      </c>
      <c r="B48" s="40" t="s">
        <v>118</v>
      </c>
      <c r="C48" s="56" t="s">
        <v>22</v>
      </c>
      <c r="D48" s="56">
        <v>5390.2</v>
      </c>
      <c r="E48" s="30">
        <v>372.87</v>
      </c>
      <c r="F48" s="20">
        <f t="shared" si="0"/>
        <v>2009844</v>
      </c>
      <c r="G48" s="40" t="s">
        <v>119</v>
      </c>
      <c r="H48" s="40" t="s">
        <v>120</v>
      </c>
    </row>
    <row r="49" spans="1:8" ht="96" customHeight="1">
      <c r="A49" s="55" t="s">
        <v>24</v>
      </c>
      <c r="B49" s="40" t="s">
        <v>121</v>
      </c>
      <c r="C49" s="56" t="s">
        <v>22</v>
      </c>
      <c r="D49" s="56">
        <f>573.2-41.3</f>
        <v>531.90000000000009</v>
      </c>
      <c r="E49" s="30">
        <v>549.66</v>
      </c>
      <c r="F49" s="20">
        <f t="shared" si="0"/>
        <v>292364</v>
      </c>
      <c r="G49" s="40" t="s">
        <v>122</v>
      </c>
      <c r="H49" s="40" t="s">
        <v>252</v>
      </c>
    </row>
    <row r="50" spans="1:8" ht="28.5" customHeight="1">
      <c r="A50" s="57" t="s">
        <v>124</v>
      </c>
      <c r="B50" s="58" t="s">
        <v>125</v>
      </c>
      <c r="C50" s="59"/>
      <c r="D50" s="44"/>
      <c r="E50" s="30"/>
      <c r="F50" s="20"/>
      <c r="G50" s="22"/>
      <c r="H50" s="22"/>
    </row>
    <row r="51" spans="1:8" ht="20.100000000000001" customHeight="1">
      <c r="A51" s="57" t="s">
        <v>20</v>
      </c>
      <c r="B51" s="58" t="s">
        <v>126</v>
      </c>
      <c r="C51" s="59"/>
      <c r="D51" s="44"/>
      <c r="E51" s="30"/>
      <c r="F51" s="20"/>
      <c r="G51" s="29"/>
      <c r="H51" s="60"/>
    </row>
    <row r="52" spans="1:8" ht="88.5" customHeight="1">
      <c r="A52" s="57" t="s">
        <v>127</v>
      </c>
      <c r="B52" s="58" t="s">
        <v>128</v>
      </c>
      <c r="C52" s="59" t="s">
        <v>22</v>
      </c>
      <c r="D52" s="44">
        <v>3004</v>
      </c>
      <c r="E52" s="30">
        <v>15.706899999999999</v>
      </c>
      <c r="F52" s="20">
        <f t="shared" si="0"/>
        <v>47184</v>
      </c>
      <c r="G52" s="61" t="s">
        <v>129</v>
      </c>
      <c r="H52" s="62" t="s">
        <v>130</v>
      </c>
    </row>
    <row r="53" spans="1:8" ht="66.75" customHeight="1">
      <c r="A53" s="57" t="s">
        <v>131</v>
      </c>
      <c r="B53" s="63" t="s">
        <v>132</v>
      </c>
      <c r="C53" s="59" t="s">
        <v>100</v>
      </c>
      <c r="D53" s="44">
        <v>521.28</v>
      </c>
      <c r="E53" s="30">
        <v>100.3232076</v>
      </c>
      <c r="F53" s="20">
        <f t="shared" si="0"/>
        <v>52296</v>
      </c>
      <c r="G53" s="64" t="s">
        <v>133</v>
      </c>
      <c r="H53" s="125" t="s">
        <v>251</v>
      </c>
    </row>
    <row r="54" spans="1:8" ht="63.75" customHeight="1">
      <c r="A54" s="57" t="s">
        <v>135</v>
      </c>
      <c r="B54" s="58" t="s">
        <v>136</v>
      </c>
      <c r="C54" s="59" t="s">
        <v>22</v>
      </c>
      <c r="D54" s="44">
        <v>232.7</v>
      </c>
      <c r="E54" s="30">
        <v>166.11</v>
      </c>
      <c r="F54" s="20">
        <f t="shared" si="0"/>
        <v>38654</v>
      </c>
      <c r="G54" s="66" t="s">
        <v>137</v>
      </c>
      <c r="H54" s="67" t="s">
        <v>250</v>
      </c>
    </row>
    <row r="55" spans="1:8" ht="72" customHeight="1">
      <c r="A55" s="57" t="s">
        <v>138</v>
      </c>
      <c r="B55" s="63" t="s">
        <v>139</v>
      </c>
      <c r="C55" s="59" t="s">
        <v>22</v>
      </c>
      <c r="D55" s="44">
        <v>729.2</v>
      </c>
      <c r="E55" s="30">
        <v>142.51313999999999</v>
      </c>
      <c r="F55" s="20">
        <f t="shared" si="0"/>
        <v>103921</v>
      </c>
      <c r="G55" s="68" t="s">
        <v>140</v>
      </c>
      <c r="H55" s="69" t="s">
        <v>246</v>
      </c>
    </row>
    <row r="56" spans="1:8" ht="68.25" customHeight="1">
      <c r="A56" s="57" t="s">
        <v>141</v>
      </c>
      <c r="B56" s="63" t="s">
        <v>142</v>
      </c>
      <c r="C56" s="59" t="s">
        <v>22</v>
      </c>
      <c r="D56" s="44">
        <v>6.1</v>
      </c>
      <c r="E56" s="30">
        <v>354.69</v>
      </c>
      <c r="F56" s="20">
        <f t="shared" si="0"/>
        <v>2164</v>
      </c>
      <c r="G56" s="74" t="s">
        <v>143</v>
      </c>
      <c r="H56" s="75" t="s">
        <v>246</v>
      </c>
    </row>
    <row r="57" spans="1:8" ht="72" customHeight="1">
      <c r="A57" s="76" t="s">
        <v>144</v>
      </c>
      <c r="B57" s="40" t="s">
        <v>145</v>
      </c>
      <c r="C57" s="77" t="s">
        <v>22</v>
      </c>
      <c r="D57" s="78">
        <f>205.5+68.4</f>
        <v>273.89999999999998</v>
      </c>
      <c r="E57" s="30">
        <v>142.51</v>
      </c>
      <c r="F57" s="20">
        <f t="shared" si="0"/>
        <v>39033</v>
      </c>
      <c r="G57" s="68" t="s">
        <v>146</v>
      </c>
      <c r="H57" s="69" t="s">
        <v>246</v>
      </c>
    </row>
    <row r="58" spans="1:8" ht="69" customHeight="1">
      <c r="A58" s="76" t="s">
        <v>147</v>
      </c>
      <c r="B58" s="40" t="s">
        <v>148</v>
      </c>
      <c r="C58" s="77" t="s">
        <v>22</v>
      </c>
      <c r="D58" s="78">
        <f>129.3+148.4</f>
        <v>277.70000000000005</v>
      </c>
      <c r="E58" s="30">
        <v>354.69</v>
      </c>
      <c r="F58" s="20">
        <f t="shared" si="0"/>
        <v>98497</v>
      </c>
      <c r="G58" s="79" t="s">
        <v>149</v>
      </c>
      <c r="H58" s="32" t="s">
        <v>245</v>
      </c>
    </row>
    <row r="59" spans="1:8" ht="24" customHeight="1">
      <c r="A59" s="57" t="s">
        <v>150</v>
      </c>
      <c r="B59" s="58" t="s">
        <v>151</v>
      </c>
      <c r="C59" s="59"/>
      <c r="D59" s="44"/>
      <c r="E59" s="30"/>
      <c r="F59" s="20"/>
      <c r="G59" s="22"/>
      <c r="H59" s="60"/>
    </row>
    <row r="60" spans="1:8" ht="90.75" customHeight="1">
      <c r="A60" s="76" t="s">
        <v>127</v>
      </c>
      <c r="B60" s="80" t="s">
        <v>152</v>
      </c>
      <c r="C60" s="81" t="s">
        <v>22</v>
      </c>
      <c r="D60" s="82">
        <f>4524.4-902</f>
        <v>3622.3999999999996</v>
      </c>
      <c r="E60" s="30">
        <v>15.706899999999999</v>
      </c>
      <c r="F60" s="20">
        <f t="shared" si="0"/>
        <v>56897</v>
      </c>
      <c r="G60" s="61" t="s">
        <v>129</v>
      </c>
      <c r="H60" s="62" t="s">
        <v>153</v>
      </c>
    </row>
    <row r="61" spans="1:8" ht="74.099999999999994" customHeight="1">
      <c r="A61" s="100" t="s">
        <v>135</v>
      </c>
      <c r="B61" s="101" t="s">
        <v>154</v>
      </c>
      <c r="C61" s="102" t="s">
        <v>22</v>
      </c>
      <c r="D61" s="44">
        <v>50.8</v>
      </c>
      <c r="E61" s="30">
        <v>166.10946000000001</v>
      </c>
      <c r="F61" s="20">
        <f t="shared" si="0"/>
        <v>8438</v>
      </c>
      <c r="G61" s="99" t="s">
        <v>155</v>
      </c>
      <c r="H61" s="67" t="s">
        <v>250</v>
      </c>
    </row>
    <row r="62" spans="1:8" ht="116.25" customHeight="1">
      <c r="A62" s="76" t="s">
        <v>138</v>
      </c>
      <c r="B62" s="83" t="s">
        <v>156</v>
      </c>
      <c r="C62" s="81" t="s">
        <v>157</v>
      </c>
      <c r="D62" s="82">
        <f>83887.5</f>
        <v>83887.5</v>
      </c>
      <c r="E62" s="30">
        <v>0.57552000000000003</v>
      </c>
      <c r="F62" s="20">
        <f t="shared" si="0"/>
        <v>48279</v>
      </c>
      <c r="G62" s="84" t="s">
        <v>158</v>
      </c>
      <c r="H62" s="126" t="s">
        <v>248</v>
      </c>
    </row>
    <row r="63" spans="1:8" ht="65.25" customHeight="1">
      <c r="A63" s="76" t="s">
        <v>160</v>
      </c>
      <c r="B63" s="83" t="s">
        <v>161</v>
      </c>
      <c r="C63" s="81" t="s">
        <v>22</v>
      </c>
      <c r="D63" s="82">
        <f>1993.42</f>
        <v>1993.42</v>
      </c>
      <c r="E63" s="30">
        <v>142.51313999999999</v>
      </c>
      <c r="F63" s="20">
        <f t="shared" si="0"/>
        <v>284089</v>
      </c>
      <c r="G63" s="68" t="s">
        <v>146</v>
      </c>
      <c r="H63" s="69" t="s">
        <v>246</v>
      </c>
    </row>
    <row r="64" spans="1:8" ht="111" customHeight="1">
      <c r="A64" s="76" t="s">
        <v>162</v>
      </c>
      <c r="B64" s="83" t="s">
        <v>163</v>
      </c>
      <c r="C64" s="81" t="s">
        <v>157</v>
      </c>
      <c r="D64" s="82">
        <f>33398.44</f>
        <v>33398.44</v>
      </c>
      <c r="E64" s="30">
        <v>0.67144000000000004</v>
      </c>
      <c r="F64" s="20">
        <f t="shared" si="0"/>
        <v>22425</v>
      </c>
      <c r="G64" s="84" t="s">
        <v>158</v>
      </c>
      <c r="H64" s="126" t="s">
        <v>248</v>
      </c>
    </row>
    <row r="65" spans="1:8" ht="69.95" customHeight="1">
      <c r="A65" s="76" t="s">
        <v>164</v>
      </c>
      <c r="B65" s="83" t="s">
        <v>165</v>
      </c>
      <c r="C65" s="81" t="s">
        <v>22</v>
      </c>
      <c r="D65" s="82">
        <f>2282.82</f>
        <v>2282.8200000000002</v>
      </c>
      <c r="E65" s="30">
        <v>251.58617000000001</v>
      </c>
      <c r="F65" s="20">
        <f t="shared" si="0"/>
        <v>574326</v>
      </c>
      <c r="G65" s="86" t="s">
        <v>166</v>
      </c>
      <c r="H65" s="87" t="s">
        <v>247</v>
      </c>
    </row>
    <row r="66" spans="1:8" ht="69.95" customHeight="1">
      <c r="A66" s="76" t="s">
        <v>141</v>
      </c>
      <c r="B66" s="83" t="s">
        <v>167</v>
      </c>
      <c r="C66" s="81" t="s">
        <v>22</v>
      </c>
      <c r="D66" s="82">
        <f>5.76</f>
        <v>5.76</v>
      </c>
      <c r="E66" s="30">
        <v>354.68817999999999</v>
      </c>
      <c r="F66" s="20">
        <f t="shared" si="0"/>
        <v>2043</v>
      </c>
      <c r="G66" s="88" t="s">
        <v>143</v>
      </c>
      <c r="H66" s="89" t="s">
        <v>249</v>
      </c>
    </row>
    <row r="67" spans="1:8" ht="109.5" customHeight="1">
      <c r="A67" s="76" t="s">
        <v>144</v>
      </c>
      <c r="B67" s="83" t="s">
        <v>169</v>
      </c>
      <c r="C67" s="81" t="s">
        <v>157</v>
      </c>
      <c r="D67" s="82">
        <f>113681.7</f>
        <v>113681.7</v>
      </c>
      <c r="E67" s="30">
        <v>0.67144000000000004</v>
      </c>
      <c r="F67" s="20">
        <f t="shared" si="0"/>
        <v>76330</v>
      </c>
      <c r="G67" s="84" t="s">
        <v>158</v>
      </c>
      <c r="H67" s="126" t="s">
        <v>248</v>
      </c>
    </row>
    <row r="68" spans="1:8" ht="72" customHeight="1">
      <c r="A68" s="76" t="s">
        <v>147</v>
      </c>
      <c r="B68" s="83" t="s">
        <v>170</v>
      </c>
      <c r="C68" s="81" t="s">
        <v>22</v>
      </c>
      <c r="D68" s="82">
        <f>890.02</f>
        <v>890.02</v>
      </c>
      <c r="E68" s="30">
        <v>257.76101999999997</v>
      </c>
      <c r="F68" s="20">
        <f t="shared" si="0"/>
        <v>229412</v>
      </c>
      <c r="G68" s="79" t="s">
        <v>171</v>
      </c>
      <c r="H68" s="87" t="s">
        <v>247</v>
      </c>
    </row>
    <row r="69" spans="1:8" ht="72" customHeight="1">
      <c r="A69" s="76" t="s">
        <v>172</v>
      </c>
      <c r="B69" s="40" t="s">
        <v>173</v>
      </c>
      <c r="C69" s="77" t="s">
        <v>22</v>
      </c>
      <c r="D69" s="78">
        <f>441.84</f>
        <v>441.84</v>
      </c>
      <c r="E69" s="30">
        <v>142.51</v>
      </c>
      <c r="F69" s="20">
        <f t="shared" ref="F69:F71" si="1">ROUND(D69*E69,0)</f>
        <v>62967</v>
      </c>
      <c r="G69" s="68" t="s">
        <v>146</v>
      </c>
      <c r="H69" s="69" t="s">
        <v>246</v>
      </c>
    </row>
    <row r="70" spans="1:8" ht="69" customHeight="1">
      <c r="A70" s="76" t="s">
        <v>174</v>
      </c>
      <c r="B70" s="40" t="s">
        <v>175</v>
      </c>
      <c r="C70" s="77" t="s">
        <v>22</v>
      </c>
      <c r="D70" s="78">
        <f>381.13</f>
        <v>381.13</v>
      </c>
      <c r="E70" s="30">
        <v>354.69</v>
      </c>
      <c r="F70" s="20">
        <f t="shared" si="1"/>
        <v>135183</v>
      </c>
      <c r="G70" s="79" t="s">
        <v>149</v>
      </c>
      <c r="H70" s="32" t="s">
        <v>245</v>
      </c>
    </row>
    <row r="71" spans="1:8" ht="50.1" customHeight="1">
      <c r="A71" s="76" t="s">
        <v>244</v>
      </c>
      <c r="B71" s="83" t="s">
        <v>176</v>
      </c>
      <c r="C71" s="81" t="s">
        <v>90</v>
      </c>
      <c r="D71" s="82">
        <f>4582.5</f>
        <v>4582.5</v>
      </c>
      <c r="E71" s="30">
        <v>3.6</v>
      </c>
      <c r="F71" s="20">
        <f t="shared" si="1"/>
        <v>16497</v>
      </c>
      <c r="G71" s="40" t="s">
        <v>177</v>
      </c>
      <c r="H71" s="90" t="s">
        <v>178</v>
      </c>
    </row>
    <row r="72" spans="1:8" ht="27" customHeight="1" thickBot="1">
      <c r="A72" s="127" t="s">
        <v>286</v>
      </c>
      <c r="B72" s="128"/>
      <c r="C72" s="128"/>
      <c r="D72" s="129"/>
      <c r="E72" s="4"/>
      <c r="F72" s="5">
        <f>SUM(F4:F71)</f>
        <v>15317258</v>
      </c>
      <c r="G72" s="6"/>
      <c r="H72" s="6"/>
    </row>
    <row r="73" spans="1:8" ht="25.5" customHeight="1">
      <c r="A73" s="254" t="s">
        <v>287</v>
      </c>
      <c r="B73" s="253"/>
      <c r="C73" s="253"/>
      <c r="D73" s="253"/>
      <c r="E73" s="253"/>
      <c r="F73" s="253"/>
      <c r="G73" s="253"/>
      <c r="H73" s="252"/>
    </row>
    <row r="74" spans="1:8" ht="25.5" customHeight="1">
      <c r="A74" s="263"/>
      <c r="B74" s="262"/>
      <c r="C74" s="262"/>
      <c r="D74" s="262"/>
      <c r="E74" s="262"/>
      <c r="F74" s="262"/>
      <c r="G74" s="262"/>
      <c r="H74" s="261"/>
    </row>
    <row r="75" spans="1:8">
      <c r="A75" s="260" t="s">
        <v>288</v>
      </c>
      <c r="B75" s="259"/>
      <c r="C75" s="259"/>
      <c r="D75" s="259"/>
      <c r="E75" s="259"/>
      <c r="F75" s="259"/>
      <c r="G75" s="259"/>
      <c r="H75" s="258"/>
    </row>
    <row r="76" spans="1:8">
      <c r="A76" s="257" t="s">
        <v>289</v>
      </c>
      <c r="B76" s="256"/>
      <c r="C76" s="256"/>
      <c r="D76" s="256"/>
      <c r="E76" s="256"/>
      <c r="F76" s="256"/>
      <c r="G76" s="256"/>
      <c r="H76" s="255"/>
    </row>
    <row r="77" spans="1:8">
      <c r="A77" s="257" t="s">
        <v>290</v>
      </c>
      <c r="B77" s="256"/>
      <c r="C77" s="256"/>
      <c r="D77" s="256"/>
      <c r="E77" s="256"/>
      <c r="F77" s="256"/>
      <c r="G77" s="256"/>
      <c r="H77" s="255"/>
    </row>
    <row r="78" spans="1:8">
      <c r="A78" s="257" t="s">
        <v>291</v>
      </c>
      <c r="B78" s="256"/>
      <c r="C78" s="256"/>
      <c r="D78" s="256"/>
      <c r="E78" s="256"/>
      <c r="F78" s="256"/>
      <c r="G78" s="256"/>
      <c r="H78" s="255"/>
    </row>
    <row r="79" spans="1:8" ht="12.75" thickBot="1">
      <c r="A79" s="251" t="s">
        <v>292</v>
      </c>
      <c r="B79" s="250"/>
      <c r="C79" s="250"/>
      <c r="D79" s="250"/>
      <c r="E79" s="250"/>
      <c r="F79" s="250"/>
      <c r="G79" s="250"/>
      <c r="H79" s="249"/>
    </row>
  </sheetData>
  <sheetProtection password="C61B" sheet="1" objects="1" scenarios="1"/>
  <mergeCells count="11">
    <mergeCell ref="A73:H74"/>
    <mergeCell ref="A75:H75"/>
    <mergeCell ref="A76:H76"/>
    <mergeCell ref="A77:H77"/>
    <mergeCell ref="A78:H78"/>
    <mergeCell ref="A79:H79"/>
    <mergeCell ref="A72:D72"/>
    <mergeCell ref="A1:H1"/>
    <mergeCell ref="A3:C3"/>
    <mergeCell ref="G12:G14"/>
    <mergeCell ref="H12:H14"/>
  </mergeCells>
  <phoneticPr fontId="36" type="noConversion"/>
  <pageMargins left="0.98425196850393704" right="0.9055118110236221" top="0.94488188976377963" bottom="0.94488188976377963" header="0.27559055118110237" footer="0.71"/>
  <pageSetup paperSize="9" scale="75" orientation="landscape" r:id="rId1"/>
  <headerFooter>
    <oddFooter>&amp;L投标法定代表人或授权委托人（签字盖章）：&amp;C
&amp;R&amp;P/&amp;N</oddFooter>
  </headerFooter>
</worksheet>
</file>

<file path=xl/worksheets/sheet2.xml><?xml version="1.0" encoding="utf-8"?>
<worksheet xmlns="http://schemas.openxmlformats.org/spreadsheetml/2006/main" xmlns:r="http://schemas.openxmlformats.org/officeDocument/2006/relationships">
  <dimension ref="A1:H96"/>
  <sheetViews>
    <sheetView view="pageBreakPreview" zoomScale="106" zoomScaleNormal="40" zoomScaleSheetLayoutView="106" workbookViewId="0">
      <pane xSplit="6" ySplit="2" topLeftCell="G85" activePane="bottomRight" state="frozen"/>
      <selection pane="topRight"/>
      <selection pane="bottomLeft"/>
      <selection pane="bottomRight" activeCell="B98" sqref="B98"/>
    </sheetView>
  </sheetViews>
  <sheetFormatPr defaultColWidth="9" defaultRowHeight="14.25"/>
  <cols>
    <col min="1" max="1" width="7.375" style="122" customWidth="1"/>
    <col min="2" max="2" width="16.5" style="1" customWidth="1"/>
    <col min="3" max="3" width="5.125" style="1" customWidth="1"/>
    <col min="4" max="4" width="9.625" style="107" customWidth="1"/>
    <col min="5" max="5" width="11.625" style="1" customWidth="1"/>
    <col min="6" max="6" width="10.75" style="1" customWidth="1"/>
    <col min="7" max="7" width="41.125" style="1" customWidth="1"/>
    <col min="8" max="8" width="67.625" style="1" customWidth="1"/>
    <col min="9" max="9" width="9.625" style="1"/>
    <col min="10" max="10" width="9" style="1"/>
    <col min="11" max="11" width="9.625" style="1"/>
    <col min="12" max="24" width="9" style="1"/>
    <col min="25" max="25" width="9.625" style="1"/>
    <col min="26" max="26" width="9" style="1"/>
    <col min="27" max="27" width="9.625" style="1"/>
    <col min="28" max="40" width="9" style="1"/>
    <col min="41" max="41" width="9.625" style="1"/>
    <col min="42" max="42" width="9" style="1"/>
    <col min="43" max="43" width="9.625" style="1"/>
    <col min="44" max="56" width="9" style="1"/>
    <col min="57" max="57" width="9.625" style="1"/>
    <col min="58" max="58" width="9" style="1"/>
    <col min="59" max="59" width="9.625" style="1"/>
    <col min="60" max="64" width="9" style="1"/>
    <col min="65" max="65" width="9.625" style="1"/>
    <col min="66" max="72" width="9" style="1"/>
    <col min="73" max="73" width="9.625" style="1"/>
    <col min="74" max="74" width="9" style="1"/>
    <col min="75" max="75" width="9.625" style="1"/>
    <col min="76" max="88" width="9" style="1"/>
    <col min="89" max="89" width="9.625" style="1"/>
    <col min="90" max="90" width="9" style="1"/>
    <col min="91" max="91" width="9.625" style="1"/>
    <col min="92" max="104" width="9" style="1"/>
    <col min="105" max="105" width="9.625" style="1"/>
    <col min="106" max="106" width="9" style="1"/>
    <col min="107" max="107" width="9.625" style="1"/>
    <col min="108" max="120" width="9" style="1"/>
    <col min="121" max="121" width="9.625" style="1"/>
    <col min="122" max="122" width="9" style="1"/>
    <col min="123" max="123" width="9.625" style="1"/>
    <col min="124" max="136" width="9" style="1"/>
    <col min="137" max="137" width="9.625" style="1"/>
    <col min="138" max="138" width="9" style="1"/>
    <col min="139" max="139" width="9.625" style="1"/>
    <col min="140" max="152" width="9" style="1"/>
    <col min="153" max="153" width="9.625" style="1"/>
    <col min="154" max="154" width="9" style="1"/>
    <col min="155" max="155" width="9.625" style="1"/>
    <col min="156" max="168" width="9" style="1"/>
    <col min="169" max="169" width="9.625" style="1"/>
    <col min="170" max="170" width="9" style="1"/>
    <col min="171" max="171" width="9.625" style="1"/>
    <col min="172" max="184" width="9" style="1"/>
    <col min="185" max="185" width="9.625" style="1"/>
    <col min="186" max="186" width="9" style="1"/>
    <col min="187" max="187" width="9.625" style="1"/>
    <col min="188" max="200" width="9" style="1"/>
    <col min="201" max="201" width="9.625" style="1"/>
    <col min="202" max="202" width="9" style="1"/>
    <col min="203" max="203" width="9.625" style="1"/>
    <col min="204" max="216" width="9" style="1"/>
    <col min="217" max="217" width="9.625" style="1"/>
    <col min="218" max="218" width="9" style="1"/>
    <col min="219" max="219" width="9.625" style="1"/>
    <col min="220" max="232" width="9" style="1"/>
    <col min="233" max="233" width="9.625" style="1"/>
    <col min="234" max="234" width="9" style="1"/>
    <col min="235" max="235" width="9.625" style="1"/>
    <col min="236" max="248" width="9" style="1"/>
    <col min="249" max="249" width="9.625" style="1"/>
    <col min="250" max="250" width="9" style="1"/>
    <col min="251" max="251" width="9.625" style="1"/>
    <col min="252" max="264" width="9" style="1"/>
    <col min="265" max="265" width="9.625" style="1"/>
    <col min="266" max="266" width="9" style="1"/>
    <col min="267" max="267" width="9.625" style="1"/>
    <col min="268" max="280" width="9" style="1"/>
    <col min="281" max="281" width="9.625" style="1"/>
    <col min="282" max="282" width="9" style="1"/>
    <col min="283" max="283" width="9.625" style="1"/>
    <col min="284" max="296" width="9" style="1"/>
    <col min="297" max="297" width="9.625" style="1"/>
    <col min="298" max="298" width="9" style="1"/>
    <col min="299" max="299" width="9.625" style="1"/>
    <col min="300" max="312" width="9" style="1"/>
    <col min="313" max="313" width="9.625" style="1"/>
    <col min="314" max="314" width="9" style="1"/>
    <col min="315" max="315" width="9.625" style="1"/>
    <col min="316" max="328" width="9" style="1"/>
    <col min="329" max="329" width="9.625" style="1"/>
    <col min="330" max="330" width="9" style="1"/>
    <col min="331" max="331" width="9.625" style="1"/>
    <col min="332" max="344" width="9" style="1"/>
    <col min="345" max="345" width="9.625" style="1"/>
    <col min="346" max="346" width="9" style="1"/>
    <col min="347" max="347" width="9.625" style="1"/>
    <col min="348" max="360" width="9" style="1"/>
    <col min="361" max="361" width="9.625" style="1"/>
    <col min="362" max="362" width="9" style="1"/>
    <col min="363" max="363" width="9.625" style="1"/>
    <col min="364" max="371" width="9" style="1"/>
    <col min="372" max="372" width="9.625" style="1"/>
    <col min="373" max="376" width="9" style="1"/>
    <col min="377" max="377" width="9.625" style="1"/>
    <col min="378" max="378" width="9" style="1"/>
    <col min="379" max="379" width="9.625" style="1"/>
    <col min="380" max="392" width="9" style="1"/>
    <col min="393" max="393" width="9.625" style="1"/>
    <col min="394" max="394" width="9" style="1"/>
    <col min="395" max="395" width="9.625" style="1"/>
    <col min="396" max="408" width="9" style="1"/>
    <col min="409" max="409" width="9.625" style="1"/>
    <col min="410" max="410" width="9" style="1"/>
    <col min="411" max="411" width="9.625" style="1"/>
    <col min="412" max="424" width="9" style="1"/>
    <col min="425" max="425" width="9.625" style="1"/>
    <col min="426" max="426" width="9" style="1"/>
    <col min="427" max="427" width="9.625" style="1"/>
    <col min="428" max="440" width="9" style="1"/>
    <col min="441" max="441" width="9.625" style="1"/>
    <col min="442" max="442" width="9" style="1"/>
    <col min="443" max="443" width="9.625" style="1"/>
    <col min="444" max="456" width="9" style="1"/>
    <col min="457" max="457" width="9.625" style="1"/>
    <col min="458" max="458" width="9" style="1"/>
    <col min="459" max="459" width="9.625" style="1"/>
    <col min="460" max="472" width="9" style="1"/>
    <col min="473" max="473" width="9.625" style="1"/>
    <col min="474" max="474" width="9" style="1"/>
    <col min="475" max="475" width="9.625" style="1"/>
    <col min="476" max="488" width="9" style="1"/>
    <col min="489" max="489" width="9.625" style="1"/>
    <col min="490" max="490" width="9" style="1"/>
    <col min="491" max="491" width="9.625" style="1"/>
    <col min="492" max="504" width="9" style="1"/>
    <col min="505" max="505" width="9.625" style="1"/>
    <col min="506" max="506" width="9" style="1"/>
    <col min="507" max="507" width="9.625" style="1"/>
    <col min="508" max="520" width="9" style="1"/>
    <col min="521" max="521" width="9.625" style="1"/>
    <col min="522" max="522" width="9" style="1"/>
    <col min="523" max="523" width="9.625" style="1"/>
    <col min="524" max="536" width="9" style="1"/>
    <col min="537" max="537" width="9.625" style="1"/>
    <col min="538" max="538" width="9" style="1"/>
    <col min="539" max="539" width="9.625" style="1"/>
    <col min="540" max="552" width="9" style="1"/>
    <col min="553" max="553" width="9.625" style="1"/>
    <col min="554" max="554" width="9" style="1"/>
    <col min="555" max="555" width="9.625" style="1"/>
    <col min="556" max="568" width="9" style="1"/>
    <col min="569" max="569" width="9.625" style="1"/>
    <col min="570" max="570" width="9" style="1"/>
    <col min="571" max="571" width="9.625" style="1"/>
    <col min="572" max="584" width="9" style="1"/>
    <col min="585" max="585" width="9.625" style="1"/>
    <col min="586" max="586" width="9" style="1"/>
    <col min="587" max="587" width="9.625" style="1"/>
    <col min="588" max="600" width="9" style="1"/>
    <col min="601" max="601" width="9.625" style="1"/>
    <col min="602" max="602" width="9" style="1"/>
    <col min="603" max="603" width="9.625" style="1"/>
    <col min="604" max="616" width="9" style="1"/>
    <col min="617" max="617" width="9.625" style="1"/>
    <col min="618" max="618" width="9" style="1"/>
    <col min="619" max="619" width="9.625" style="1"/>
    <col min="620" max="632" width="9" style="1"/>
    <col min="633" max="633" width="9.625" style="1"/>
    <col min="634" max="634" width="9" style="1"/>
    <col min="635" max="635" width="9.625" style="1"/>
    <col min="636" max="648" width="9" style="1"/>
    <col min="649" max="649" width="9.625" style="1"/>
    <col min="650" max="650" width="9" style="1"/>
    <col min="651" max="651" width="9.625" style="1"/>
    <col min="652" max="664" width="9" style="1"/>
    <col min="665" max="665" width="9.625" style="1"/>
    <col min="666" max="666" width="9" style="1"/>
    <col min="667" max="667" width="9.625" style="1"/>
    <col min="668" max="680" width="9" style="1"/>
    <col min="681" max="681" width="9.625" style="1"/>
    <col min="682" max="682" width="9" style="1"/>
    <col min="683" max="683" width="9.625" style="1"/>
    <col min="684" max="696" width="9" style="1"/>
    <col min="697" max="697" width="9.625" style="1"/>
    <col min="698" max="698" width="9" style="1"/>
    <col min="699" max="699" width="9.625" style="1"/>
    <col min="700" max="712" width="9" style="1"/>
    <col min="713" max="713" width="9.625" style="1"/>
    <col min="714" max="714" width="9" style="1"/>
    <col min="715" max="715" width="9.625" style="1"/>
    <col min="716" max="728" width="9" style="1"/>
    <col min="729" max="729" width="9.625" style="1"/>
    <col min="730" max="730" width="9" style="1"/>
    <col min="731" max="731" width="9.625" style="1"/>
    <col min="732" max="744" width="9" style="1"/>
    <col min="745" max="745" width="9.625" style="1"/>
    <col min="746" max="746" width="9" style="1"/>
    <col min="747" max="747" width="9.625" style="1"/>
    <col min="748" max="760" width="9" style="1"/>
    <col min="761" max="761" width="9.625" style="1"/>
    <col min="762" max="762" width="9" style="1"/>
    <col min="763" max="763" width="9.625" style="1"/>
    <col min="764" max="776" width="9" style="1"/>
    <col min="777" max="777" width="9.625" style="1"/>
    <col min="778" max="778" width="9" style="1"/>
    <col min="779" max="779" width="9.625" style="1"/>
    <col min="780" max="792" width="9" style="1"/>
    <col min="793" max="793" width="9.625" style="1"/>
    <col min="794" max="794" width="9" style="1"/>
    <col min="795" max="795" width="9.625" style="1"/>
    <col min="796" max="808" width="9" style="1"/>
    <col min="809" max="809" width="9.625" style="1"/>
    <col min="810" max="810" width="9" style="1"/>
    <col min="811" max="811" width="9.625" style="1"/>
    <col min="812" max="824" width="9" style="1"/>
    <col min="825" max="825" width="9.625" style="1"/>
    <col min="826" max="826" width="9" style="1"/>
    <col min="827" max="827" width="9.625" style="1"/>
    <col min="828" max="840" width="9" style="1"/>
    <col min="841" max="841" width="9.625" style="1"/>
    <col min="842" max="842" width="9" style="1"/>
    <col min="843" max="843" width="9.625" style="1"/>
    <col min="844" max="856" width="9" style="1"/>
    <col min="857" max="857" width="9.625" style="1"/>
    <col min="858" max="858" width="9" style="1"/>
    <col min="859" max="859" width="9.625" style="1"/>
    <col min="860" max="872" width="9" style="1"/>
    <col min="873" max="873" width="9.625" style="1"/>
    <col min="874" max="874" width="9" style="1"/>
    <col min="875" max="875" width="9.625" style="1"/>
    <col min="876" max="888" width="9" style="1"/>
    <col min="889" max="889" width="9.625" style="1"/>
    <col min="890" max="890" width="9" style="1"/>
    <col min="891" max="891" width="9.625" style="1"/>
    <col min="892" max="904" width="9" style="1"/>
    <col min="905" max="905" width="9.625" style="1"/>
    <col min="906" max="906" width="9" style="1"/>
    <col min="907" max="907" width="9.625" style="1"/>
    <col min="908" max="920" width="9" style="1"/>
    <col min="921" max="921" width="9.625" style="1"/>
    <col min="922" max="922" width="9" style="1"/>
    <col min="923" max="923" width="9.625" style="1"/>
    <col min="924" max="936" width="9" style="1"/>
    <col min="937" max="937" width="9.625" style="1"/>
    <col min="938" max="938" width="9" style="1"/>
    <col min="939" max="939" width="9.625" style="1"/>
    <col min="940" max="952" width="9" style="1"/>
    <col min="953" max="953" width="9.625" style="1"/>
    <col min="954" max="954" width="9" style="1"/>
    <col min="955" max="955" width="9.625" style="1"/>
    <col min="956" max="968" width="9" style="1"/>
    <col min="969" max="969" width="9.625" style="1"/>
    <col min="970" max="970" width="9" style="1"/>
    <col min="971" max="971" width="9.625" style="1"/>
    <col min="972" max="984" width="9" style="1"/>
    <col min="985" max="985" width="9.625" style="1"/>
    <col min="986" max="986" width="9" style="1"/>
    <col min="987" max="987" width="9.625" style="1"/>
    <col min="988" max="1000" width="9" style="1"/>
    <col min="1001" max="1001" width="9.625" style="1"/>
    <col min="1002" max="1002" width="9" style="1"/>
    <col min="1003" max="1003" width="9.625" style="1"/>
    <col min="1004" max="1016" width="9" style="1"/>
    <col min="1017" max="1017" width="9.625" style="1"/>
    <col min="1018" max="1018" width="9" style="1"/>
    <col min="1019" max="1019" width="9.625" style="1"/>
    <col min="1020" max="1032" width="9" style="1"/>
    <col min="1033" max="1033" width="9.625" style="1"/>
    <col min="1034" max="1034" width="9" style="1"/>
    <col min="1035" max="1035" width="9.625" style="1"/>
    <col min="1036" max="1048" width="9" style="1"/>
    <col min="1049" max="1049" width="9.625" style="1"/>
    <col min="1050" max="1050" width="9" style="1"/>
    <col min="1051" max="1051" width="9.625" style="1"/>
    <col min="1052" max="1064" width="9" style="1"/>
    <col min="1065" max="1065" width="9.625" style="1"/>
    <col min="1066" max="1066" width="9" style="1"/>
    <col min="1067" max="1067" width="9.625" style="1"/>
    <col min="1068" max="1080" width="9" style="1"/>
    <col min="1081" max="1081" width="9.625" style="1"/>
    <col min="1082" max="1082" width="9" style="1"/>
    <col min="1083" max="1083" width="9.625" style="1"/>
    <col min="1084" max="1096" width="9" style="1"/>
    <col min="1097" max="1097" width="9.625" style="1"/>
    <col min="1098" max="1098" width="9" style="1"/>
    <col min="1099" max="1099" width="9.625" style="1"/>
    <col min="1100" max="1112" width="9" style="1"/>
    <col min="1113" max="1113" width="9.625" style="1"/>
    <col min="1114" max="1114" width="9" style="1"/>
    <col min="1115" max="1115" width="9.625" style="1"/>
    <col min="1116" max="1128" width="9" style="1"/>
    <col min="1129" max="1129" width="9.625" style="1"/>
    <col min="1130" max="1130" width="9" style="1"/>
    <col min="1131" max="1131" width="9.625" style="1"/>
    <col min="1132" max="1144" width="9" style="1"/>
    <col min="1145" max="1145" width="9.625" style="1"/>
    <col min="1146" max="1146" width="9" style="1"/>
    <col min="1147" max="1147" width="9.625" style="1"/>
    <col min="1148" max="1160" width="9" style="1"/>
    <col min="1161" max="1161" width="9.625" style="1"/>
    <col min="1162" max="1162" width="9" style="1"/>
    <col min="1163" max="1163" width="9.625" style="1"/>
    <col min="1164" max="1176" width="9" style="1"/>
    <col min="1177" max="1177" width="9.625" style="1"/>
    <col min="1178" max="1178" width="9" style="1"/>
    <col min="1179" max="1179" width="9.625" style="1"/>
    <col min="1180" max="1192" width="9" style="1"/>
    <col min="1193" max="1193" width="9.625" style="1"/>
    <col min="1194" max="1194" width="9" style="1"/>
    <col min="1195" max="1195" width="9.625" style="1"/>
    <col min="1196" max="1208" width="9" style="1"/>
    <col min="1209" max="1209" width="9.625" style="1"/>
    <col min="1210" max="1210" width="9" style="1"/>
    <col min="1211" max="1211" width="9.625" style="1"/>
    <col min="1212" max="1224" width="9" style="1"/>
    <col min="1225" max="1225" width="9.625" style="1"/>
    <col min="1226" max="1226" width="9" style="1"/>
    <col min="1227" max="1227" width="9.625" style="1"/>
    <col min="1228" max="1240" width="9" style="1"/>
    <col min="1241" max="1241" width="9.625" style="1"/>
    <col min="1242" max="1242" width="9" style="1"/>
    <col min="1243" max="1243" width="9.625" style="1"/>
    <col min="1244" max="1256" width="9" style="1"/>
    <col min="1257" max="1257" width="9.625" style="1"/>
    <col min="1258" max="1258" width="9" style="1"/>
    <col min="1259" max="1259" width="9.625" style="1"/>
    <col min="1260" max="1272" width="9" style="1"/>
    <col min="1273" max="1273" width="9.625" style="1"/>
    <col min="1274" max="1274" width="9" style="1"/>
    <col min="1275" max="1275" width="9.625" style="1"/>
    <col min="1276" max="1288" width="9" style="1"/>
    <col min="1289" max="1289" width="9.625" style="1"/>
    <col min="1290" max="1290" width="9" style="1"/>
    <col min="1291" max="1291" width="9.625" style="1"/>
    <col min="1292" max="1304" width="9" style="1"/>
    <col min="1305" max="1305" width="9.625" style="1"/>
    <col min="1306" max="1306" width="9" style="1"/>
    <col min="1307" max="1307" width="9.625" style="1"/>
    <col min="1308" max="1320" width="9" style="1"/>
    <col min="1321" max="1321" width="9.625" style="1"/>
    <col min="1322" max="1322" width="9" style="1"/>
    <col min="1323" max="1323" width="9.625" style="1"/>
    <col min="1324" max="1336" width="9" style="1"/>
    <col min="1337" max="1337" width="9.625" style="1"/>
    <col min="1338" max="1338" width="9" style="1"/>
    <col min="1339" max="1339" width="9.625" style="1"/>
    <col min="1340" max="1352" width="9" style="1"/>
    <col min="1353" max="1353" width="9.625" style="1"/>
    <col min="1354" max="1354" width="9" style="1"/>
    <col min="1355" max="1355" width="9.625" style="1"/>
    <col min="1356" max="1368" width="9" style="1"/>
    <col min="1369" max="1369" width="9.625" style="1"/>
    <col min="1370" max="1370" width="9" style="1"/>
    <col min="1371" max="1371" width="9.625" style="1"/>
    <col min="1372" max="1384" width="9" style="1"/>
    <col min="1385" max="1385" width="9.625" style="1"/>
    <col min="1386" max="1386" width="9" style="1"/>
    <col min="1387" max="1387" width="9.625" style="1"/>
    <col min="1388" max="1400" width="9" style="1"/>
    <col min="1401" max="1401" width="9.625" style="1"/>
    <col min="1402" max="1402" width="9" style="1"/>
    <col min="1403" max="1403" width="9.625" style="1"/>
    <col min="1404" max="1416" width="9" style="1"/>
    <col min="1417" max="1417" width="9.625" style="1"/>
    <col min="1418" max="1418" width="9" style="1"/>
    <col min="1419" max="1419" width="9.625" style="1"/>
    <col min="1420" max="1432" width="9" style="1"/>
    <col min="1433" max="1433" width="9.625" style="1"/>
    <col min="1434" max="1434" width="9" style="1"/>
    <col min="1435" max="1435" width="9.625" style="1"/>
    <col min="1436" max="1448" width="9" style="1"/>
    <col min="1449" max="1449" width="9.625" style="1"/>
    <col min="1450" max="1450" width="9" style="1"/>
    <col min="1451" max="1451" width="9.625" style="1"/>
    <col min="1452" max="1464" width="9" style="1"/>
    <col min="1465" max="1465" width="9.625" style="1"/>
    <col min="1466" max="1466" width="9" style="1"/>
    <col min="1467" max="1467" width="9.625" style="1"/>
    <col min="1468" max="1480" width="9" style="1"/>
    <col min="1481" max="1481" width="9.625" style="1"/>
    <col min="1482" max="1482" width="9" style="1"/>
    <col min="1483" max="1483" width="9.625" style="1"/>
    <col min="1484" max="1496" width="9" style="1"/>
    <col min="1497" max="1497" width="9.625" style="1"/>
    <col min="1498" max="1498" width="9" style="1"/>
    <col min="1499" max="1499" width="9.625" style="1"/>
    <col min="1500" max="1512" width="9" style="1"/>
    <col min="1513" max="1513" width="9.625" style="1"/>
    <col min="1514" max="1514" width="9" style="1"/>
    <col min="1515" max="1515" width="9.625" style="1"/>
    <col min="1516" max="1528" width="9" style="1"/>
    <col min="1529" max="1529" width="9.625" style="1"/>
    <col min="1530" max="1530" width="9" style="1"/>
    <col min="1531" max="1531" width="9.625" style="1"/>
    <col min="1532" max="1544" width="9" style="1"/>
    <col min="1545" max="1545" width="9.625" style="1"/>
    <col min="1546" max="1546" width="9" style="1"/>
    <col min="1547" max="1547" width="9.625" style="1"/>
    <col min="1548" max="1560" width="9" style="1"/>
    <col min="1561" max="1561" width="9.625" style="1"/>
    <col min="1562" max="1562" width="9" style="1"/>
    <col min="1563" max="1563" width="9.625" style="1"/>
    <col min="1564" max="1576" width="9" style="1"/>
    <col min="1577" max="1577" width="9.625" style="1"/>
    <col min="1578" max="1578" width="9" style="1"/>
    <col min="1579" max="1579" width="9.625" style="1"/>
    <col min="1580" max="1592" width="9" style="1"/>
    <col min="1593" max="1593" width="9.625" style="1"/>
    <col min="1594" max="1594" width="9" style="1"/>
    <col min="1595" max="1595" width="9.625" style="1"/>
    <col min="1596" max="1608" width="9" style="1"/>
    <col min="1609" max="1609" width="9.625" style="1"/>
    <col min="1610" max="1610" width="9" style="1"/>
    <col min="1611" max="1611" width="9.625" style="1"/>
    <col min="1612" max="1624" width="9" style="1"/>
    <col min="1625" max="1625" width="9.625" style="1"/>
    <col min="1626" max="1626" width="9" style="1"/>
    <col min="1627" max="1627" width="9.625" style="1"/>
    <col min="1628" max="1640" width="9" style="1"/>
    <col min="1641" max="1641" width="9.625" style="1"/>
    <col min="1642" max="1642" width="9" style="1"/>
    <col min="1643" max="1643" width="9.625" style="1"/>
    <col min="1644" max="1656" width="9" style="1"/>
    <col min="1657" max="1657" width="9.625" style="1"/>
    <col min="1658" max="1658" width="9" style="1"/>
    <col min="1659" max="1659" width="9.625" style="1"/>
    <col min="1660" max="1672" width="9" style="1"/>
    <col min="1673" max="1673" width="9.625" style="1"/>
    <col min="1674" max="1674" width="9" style="1"/>
    <col min="1675" max="1675" width="9.625" style="1"/>
    <col min="1676" max="1688" width="9" style="1"/>
    <col min="1689" max="1689" width="9.625" style="1"/>
    <col min="1690" max="1690" width="9" style="1"/>
    <col min="1691" max="1691" width="9.625" style="1"/>
    <col min="1692" max="1704" width="9" style="1"/>
    <col min="1705" max="1705" width="9.625" style="1"/>
    <col min="1706" max="1706" width="9" style="1"/>
    <col min="1707" max="1707" width="9.625" style="1"/>
    <col min="1708" max="1720" width="9" style="1"/>
    <col min="1721" max="1721" width="9.625" style="1"/>
    <col min="1722" max="1722" width="9" style="1"/>
    <col min="1723" max="1723" width="9.625" style="1"/>
    <col min="1724" max="1736" width="9" style="1"/>
    <col min="1737" max="1737" width="9.625" style="1"/>
    <col min="1738" max="1738" width="9" style="1"/>
    <col min="1739" max="1739" width="9.625" style="1"/>
    <col min="1740" max="1752" width="9" style="1"/>
    <col min="1753" max="1753" width="9.625" style="1"/>
    <col min="1754" max="1754" width="9" style="1"/>
    <col min="1755" max="1755" width="9.625" style="1"/>
    <col min="1756" max="1768" width="9" style="1"/>
    <col min="1769" max="1769" width="9.625" style="1"/>
    <col min="1770" max="1770" width="9" style="1"/>
    <col min="1771" max="1771" width="9.625" style="1"/>
    <col min="1772" max="1784" width="9" style="1"/>
    <col min="1785" max="1785" width="9.625" style="1"/>
    <col min="1786" max="1786" width="9" style="1"/>
    <col min="1787" max="1787" width="9.625" style="1"/>
    <col min="1788" max="1800" width="9" style="1"/>
    <col min="1801" max="1801" width="9.625" style="1"/>
    <col min="1802" max="1802" width="9" style="1"/>
    <col min="1803" max="1803" width="9.625" style="1"/>
    <col min="1804" max="1816" width="9" style="1"/>
    <col min="1817" max="1817" width="9.625" style="1"/>
    <col min="1818" max="1818" width="9" style="1"/>
    <col min="1819" max="1819" width="9.625" style="1"/>
    <col min="1820" max="1832" width="9" style="1"/>
    <col min="1833" max="1833" width="9.625" style="1"/>
    <col min="1834" max="1834" width="9" style="1"/>
    <col min="1835" max="1835" width="9.625" style="1"/>
    <col min="1836" max="1848" width="9" style="1"/>
    <col min="1849" max="1849" width="9.625" style="1"/>
    <col min="1850" max="1850" width="9" style="1"/>
    <col min="1851" max="1851" width="9.625" style="1"/>
    <col min="1852" max="1864" width="9" style="1"/>
    <col min="1865" max="1865" width="9.625" style="1"/>
    <col min="1866" max="1866" width="9" style="1"/>
    <col min="1867" max="1867" width="9.625" style="1"/>
    <col min="1868" max="1880" width="9" style="1"/>
    <col min="1881" max="1881" width="9.625" style="1"/>
    <col min="1882" max="1882" width="9" style="1"/>
    <col min="1883" max="1883" width="9.625" style="1"/>
    <col min="1884" max="1896" width="9" style="1"/>
    <col min="1897" max="1897" width="9.625" style="1"/>
    <col min="1898" max="1898" width="9" style="1"/>
    <col min="1899" max="1899" width="9.625" style="1"/>
    <col min="1900" max="1912" width="9" style="1"/>
    <col min="1913" max="1913" width="9.625" style="1"/>
    <col min="1914" max="1914" width="9" style="1"/>
    <col min="1915" max="1915" width="9.625" style="1"/>
    <col min="1916" max="1928" width="9" style="1"/>
    <col min="1929" max="1929" width="9.625" style="1"/>
    <col min="1930" max="1930" width="9" style="1"/>
    <col min="1931" max="1931" width="9.625" style="1"/>
    <col min="1932" max="1944" width="9" style="1"/>
    <col min="1945" max="1945" width="9.625" style="1"/>
    <col min="1946" max="1946" width="9" style="1"/>
    <col min="1947" max="1947" width="9.625" style="1"/>
    <col min="1948" max="1960" width="9" style="1"/>
    <col min="1961" max="1961" width="9.625" style="1"/>
    <col min="1962" max="1962" width="9" style="1"/>
    <col min="1963" max="1963" width="9.625" style="1"/>
    <col min="1964" max="1976" width="9" style="1"/>
    <col min="1977" max="1977" width="9.625" style="1"/>
    <col min="1978" max="1978" width="9" style="1"/>
    <col min="1979" max="1979" width="9.625" style="1"/>
    <col min="1980" max="1992" width="9" style="1"/>
    <col min="1993" max="1993" width="9.625" style="1"/>
    <col min="1994" max="1994" width="9" style="1"/>
    <col min="1995" max="1995" width="9.625" style="1"/>
    <col min="1996" max="2008" width="9" style="1"/>
    <col min="2009" max="2009" width="9.625" style="1"/>
    <col min="2010" max="2010" width="9" style="1"/>
    <col min="2011" max="2011" width="9.625" style="1"/>
    <col min="2012" max="2024" width="9" style="1"/>
    <col min="2025" max="2025" width="9.625" style="1"/>
    <col min="2026" max="2026" width="9" style="1"/>
    <col min="2027" max="2027" width="9.625" style="1"/>
    <col min="2028" max="2040" width="9" style="1"/>
    <col min="2041" max="2041" width="9.625" style="1"/>
    <col min="2042" max="2042" width="9" style="1"/>
    <col min="2043" max="2043" width="9.625" style="1"/>
    <col min="2044" max="2056" width="9" style="1"/>
    <col min="2057" max="2057" width="9.625" style="1"/>
    <col min="2058" max="2058" width="9" style="1"/>
    <col min="2059" max="2059" width="9.625" style="1"/>
    <col min="2060" max="2072" width="9" style="1"/>
    <col min="2073" max="2073" width="9.625" style="1"/>
    <col min="2074" max="2074" width="9" style="1"/>
    <col min="2075" max="2075" width="9.625" style="1"/>
    <col min="2076" max="2088" width="9" style="1"/>
    <col min="2089" max="2089" width="9.625" style="1"/>
    <col min="2090" max="2090" width="9" style="1"/>
    <col min="2091" max="2091" width="9.625" style="1"/>
    <col min="2092" max="2104" width="9" style="1"/>
    <col min="2105" max="2105" width="9.625" style="1"/>
    <col min="2106" max="2106" width="9" style="1"/>
    <col min="2107" max="2107" width="9.625" style="1"/>
    <col min="2108" max="2120" width="9" style="1"/>
    <col min="2121" max="2121" width="9.625" style="1"/>
    <col min="2122" max="2122" width="9" style="1"/>
    <col min="2123" max="2123" width="9.625" style="1"/>
    <col min="2124" max="2136" width="9" style="1"/>
    <col min="2137" max="2137" width="9.625" style="1"/>
    <col min="2138" max="2138" width="9" style="1"/>
    <col min="2139" max="2139" width="9.625" style="1"/>
    <col min="2140" max="2152" width="9" style="1"/>
    <col min="2153" max="2153" width="9.625" style="1"/>
    <col min="2154" max="2154" width="9" style="1"/>
    <col min="2155" max="2155" width="9.625" style="1"/>
    <col min="2156" max="2168" width="9" style="1"/>
    <col min="2169" max="2169" width="9.625" style="1"/>
    <col min="2170" max="2170" width="9" style="1"/>
    <col min="2171" max="2171" width="9.625" style="1"/>
    <col min="2172" max="2184" width="9" style="1"/>
    <col min="2185" max="2185" width="9.625" style="1"/>
    <col min="2186" max="2186" width="9" style="1"/>
    <col min="2187" max="2187" width="9.625" style="1"/>
    <col min="2188" max="2200" width="9" style="1"/>
    <col min="2201" max="2201" width="9.625" style="1"/>
    <col min="2202" max="2202" width="9" style="1"/>
    <col min="2203" max="2203" width="9.625" style="1"/>
    <col min="2204" max="2216" width="9" style="1"/>
    <col min="2217" max="2217" width="9.625" style="1"/>
    <col min="2218" max="2218" width="9" style="1"/>
    <col min="2219" max="2219" width="9.625" style="1"/>
    <col min="2220" max="2232" width="9" style="1"/>
    <col min="2233" max="2233" width="9.625" style="1"/>
    <col min="2234" max="2234" width="9" style="1"/>
    <col min="2235" max="2235" width="9.625" style="1"/>
    <col min="2236" max="2248" width="9" style="1"/>
    <col min="2249" max="2249" width="9.625" style="1"/>
    <col min="2250" max="2250" width="9" style="1"/>
    <col min="2251" max="2251" width="9.625" style="1"/>
    <col min="2252" max="2264" width="9" style="1"/>
    <col min="2265" max="2265" width="9.625" style="1"/>
    <col min="2266" max="2266" width="9" style="1"/>
    <col min="2267" max="2267" width="9.625" style="1"/>
    <col min="2268" max="2280" width="9" style="1"/>
    <col min="2281" max="2281" width="9.625" style="1"/>
    <col min="2282" max="2282" width="9" style="1"/>
    <col min="2283" max="2283" width="9.625" style="1"/>
    <col min="2284" max="2296" width="9" style="1"/>
    <col min="2297" max="2297" width="9.625" style="1"/>
    <col min="2298" max="2298" width="9" style="1"/>
    <col min="2299" max="2299" width="9.625" style="1"/>
    <col min="2300" max="2312" width="9" style="1"/>
    <col min="2313" max="2313" width="9.625" style="1"/>
    <col min="2314" max="2314" width="9" style="1"/>
    <col min="2315" max="2315" width="9.625" style="1"/>
    <col min="2316" max="2328" width="9" style="1"/>
    <col min="2329" max="2329" width="9.625" style="1"/>
    <col min="2330" max="2330" width="9" style="1"/>
    <col min="2331" max="2331" width="9.625" style="1"/>
    <col min="2332" max="2344" width="9" style="1"/>
    <col min="2345" max="2345" width="9.625" style="1"/>
    <col min="2346" max="2346" width="9" style="1"/>
    <col min="2347" max="2347" width="9.625" style="1"/>
    <col min="2348" max="2360" width="9" style="1"/>
    <col min="2361" max="2361" width="9.625" style="1"/>
    <col min="2362" max="2362" width="9" style="1"/>
    <col min="2363" max="2363" width="9.625" style="1"/>
    <col min="2364" max="2376" width="9" style="1"/>
    <col min="2377" max="2377" width="9.625" style="1"/>
    <col min="2378" max="2378" width="9" style="1"/>
    <col min="2379" max="2379" width="9.625" style="1"/>
    <col min="2380" max="2392" width="9" style="1"/>
    <col min="2393" max="2393" width="9.625" style="1"/>
    <col min="2394" max="2394" width="9" style="1"/>
    <col min="2395" max="2395" width="9.625" style="1"/>
    <col min="2396" max="2408" width="9" style="1"/>
    <col min="2409" max="2409" width="9.625" style="1"/>
    <col min="2410" max="2410" width="9" style="1"/>
    <col min="2411" max="2411" width="9.625" style="1"/>
    <col min="2412" max="2424" width="9" style="1"/>
    <col min="2425" max="2425" width="9.625" style="1"/>
    <col min="2426" max="2426" width="9" style="1"/>
    <col min="2427" max="2427" width="9.625" style="1"/>
    <col min="2428" max="2440" width="9" style="1"/>
    <col min="2441" max="2441" width="9.625" style="1"/>
    <col min="2442" max="2442" width="9" style="1"/>
    <col min="2443" max="2443" width="9.625" style="1"/>
    <col min="2444" max="2456" width="9" style="1"/>
    <col min="2457" max="2457" width="9.625" style="1"/>
    <col min="2458" max="2458" width="9" style="1"/>
    <col min="2459" max="2459" width="9.625" style="1"/>
    <col min="2460" max="2472" width="9" style="1"/>
    <col min="2473" max="2473" width="9.625" style="1"/>
    <col min="2474" max="2474" width="9" style="1"/>
    <col min="2475" max="2475" width="9.625" style="1"/>
    <col min="2476" max="2488" width="9" style="1"/>
    <col min="2489" max="2489" width="9.625" style="1"/>
    <col min="2490" max="2490" width="9" style="1"/>
    <col min="2491" max="2491" width="9.625" style="1"/>
    <col min="2492" max="2504" width="9" style="1"/>
    <col min="2505" max="2505" width="9.625" style="1"/>
    <col min="2506" max="2506" width="9" style="1"/>
    <col min="2507" max="2507" width="9.625" style="1"/>
    <col min="2508" max="2520" width="9" style="1"/>
    <col min="2521" max="2521" width="9.625" style="1"/>
    <col min="2522" max="2522" width="9" style="1"/>
    <col min="2523" max="2523" width="9.625" style="1"/>
    <col min="2524" max="2536" width="9" style="1"/>
    <col min="2537" max="2537" width="9.625" style="1"/>
    <col min="2538" max="2538" width="9" style="1"/>
    <col min="2539" max="2539" width="9.625" style="1"/>
    <col min="2540" max="2552" width="9" style="1"/>
    <col min="2553" max="2553" width="9.625" style="1"/>
    <col min="2554" max="2554" width="9" style="1"/>
    <col min="2555" max="2555" width="9.625" style="1"/>
    <col min="2556" max="2568" width="9" style="1"/>
    <col min="2569" max="2569" width="9.625" style="1"/>
    <col min="2570" max="2570" width="9" style="1"/>
    <col min="2571" max="2571" width="9.625" style="1"/>
    <col min="2572" max="2584" width="9" style="1"/>
    <col min="2585" max="2585" width="9.625" style="1"/>
    <col min="2586" max="2586" width="9" style="1"/>
    <col min="2587" max="2587" width="9.625" style="1"/>
    <col min="2588" max="2600" width="9" style="1"/>
    <col min="2601" max="2601" width="9.625" style="1"/>
    <col min="2602" max="2602" width="9" style="1"/>
    <col min="2603" max="2603" width="9.625" style="1"/>
    <col min="2604" max="2616" width="9" style="1"/>
    <col min="2617" max="2617" width="9.625" style="1"/>
    <col min="2618" max="2618" width="9" style="1"/>
    <col min="2619" max="2619" width="9.625" style="1"/>
    <col min="2620" max="2632" width="9" style="1"/>
    <col min="2633" max="2633" width="9.625" style="1"/>
    <col min="2634" max="2634" width="9" style="1"/>
    <col min="2635" max="2635" width="9.625" style="1"/>
    <col min="2636" max="2648" width="9" style="1"/>
    <col min="2649" max="2649" width="9.625" style="1"/>
    <col min="2650" max="2650" width="9" style="1"/>
    <col min="2651" max="2651" width="9.625" style="1"/>
    <col min="2652" max="2664" width="9" style="1"/>
    <col min="2665" max="2665" width="9.625" style="1"/>
    <col min="2666" max="2666" width="9" style="1"/>
    <col min="2667" max="2667" width="9.625" style="1"/>
    <col min="2668" max="2680" width="9" style="1"/>
    <col min="2681" max="2681" width="9.625" style="1"/>
    <col min="2682" max="2682" width="9" style="1"/>
    <col min="2683" max="2683" width="9.625" style="1"/>
    <col min="2684" max="2696" width="9" style="1"/>
    <col min="2697" max="2697" width="9.625" style="1"/>
    <col min="2698" max="2698" width="9" style="1"/>
    <col min="2699" max="2699" width="9.625" style="1"/>
    <col min="2700" max="2712" width="9" style="1"/>
    <col min="2713" max="2713" width="9.625" style="1"/>
    <col min="2714" max="2714" width="9" style="1"/>
    <col min="2715" max="2715" width="9.625" style="1"/>
    <col min="2716" max="2728" width="9" style="1"/>
    <col min="2729" max="2729" width="9.625" style="1"/>
    <col min="2730" max="2730" width="9" style="1"/>
    <col min="2731" max="2731" width="9.625" style="1"/>
    <col min="2732" max="2744" width="9" style="1"/>
    <col min="2745" max="2745" width="9.625" style="1"/>
    <col min="2746" max="2746" width="9" style="1"/>
    <col min="2747" max="2747" width="9.625" style="1"/>
    <col min="2748" max="2760" width="9" style="1"/>
    <col min="2761" max="2761" width="9.625" style="1"/>
    <col min="2762" max="2762" width="9" style="1"/>
    <col min="2763" max="2763" width="9.625" style="1"/>
    <col min="2764" max="2776" width="9" style="1"/>
    <col min="2777" max="2777" width="9.625" style="1"/>
    <col min="2778" max="2778" width="9" style="1"/>
    <col min="2779" max="2779" width="9.625" style="1"/>
    <col min="2780" max="2792" width="9" style="1"/>
    <col min="2793" max="2793" width="9.625" style="1"/>
    <col min="2794" max="2794" width="9" style="1"/>
    <col min="2795" max="2795" width="9.625" style="1"/>
    <col min="2796" max="2808" width="9" style="1"/>
    <col min="2809" max="2809" width="9.625" style="1"/>
    <col min="2810" max="2810" width="9" style="1"/>
    <col min="2811" max="2811" width="9.625" style="1"/>
    <col min="2812" max="2824" width="9" style="1"/>
    <col min="2825" max="2825" width="9.625" style="1"/>
    <col min="2826" max="2826" width="9" style="1"/>
    <col min="2827" max="2827" width="9.625" style="1"/>
    <col min="2828" max="2840" width="9" style="1"/>
    <col min="2841" max="2841" width="9.625" style="1"/>
    <col min="2842" max="2842" width="9" style="1"/>
    <col min="2843" max="2843" width="9.625" style="1"/>
    <col min="2844" max="2856" width="9" style="1"/>
    <col min="2857" max="2857" width="9.625" style="1"/>
    <col min="2858" max="2858" width="9" style="1"/>
    <col min="2859" max="2859" width="9.625" style="1"/>
    <col min="2860" max="2872" width="9" style="1"/>
    <col min="2873" max="2873" width="9.625" style="1"/>
    <col min="2874" max="2874" width="9" style="1"/>
    <col min="2875" max="2875" width="9.625" style="1"/>
    <col min="2876" max="2888" width="9" style="1"/>
    <col min="2889" max="2889" width="9.625" style="1"/>
    <col min="2890" max="2890" width="9" style="1"/>
    <col min="2891" max="2891" width="9.625" style="1"/>
    <col min="2892" max="2904" width="9" style="1"/>
    <col min="2905" max="2905" width="9.625" style="1"/>
    <col min="2906" max="2906" width="9" style="1"/>
    <col min="2907" max="2907" width="9.625" style="1"/>
    <col min="2908" max="2920" width="9" style="1"/>
    <col min="2921" max="2921" width="9.625" style="1"/>
    <col min="2922" max="2922" width="9" style="1"/>
    <col min="2923" max="2923" width="9.625" style="1"/>
    <col min="2924" max="2936" width="9" style="1"/>
    <col min="2937" max="2937" width="9.625" style="1"/>
    <col min="2938" max="2938" width="9" style="1"/>
    <col min="2939" max="2939" width="9.625" style="1"/>
    <col min="2940" max="2952" width="9" style="1"/>
    <col min="2953" max="2953" width="9.625" style="1"/>
    <col min="2954" max="2954" width="9" style="1"/>
    <col min="2955" max="2955" width="9.625" style="1"/>
    <col min="2956" max="2968" width="9" style="1"/>
    <col min="2969" max="2969" width="9.625" style="1"/>
    <col min="2970" max="2970" width="9" style="1"/>
    <col min="2971" max="2971" width="9.625" style="1"/>
    <col min="2972" max="2984" width="9" style="1"/>
    <col min="2985" max="2985" width="9.625" style="1"/>
    <col min="2986" max="2986" width="9" style="1"/>
    <col min="2987" max="2987" width="9.625" style="1"/>
    <col min="2988" max="3000" width="9" style="1"/>
    <col min="3001" max="3001" width="9.625" style="1"/>
    <col min="3002" max="3002" width="9" style="1"/>
    <col min="3003" max="3003" width="9.625" style="1"/>
    <col min="3004" max="3016" width="9" style="1"/>
    <col min="3017" max="3017" width="9.625" style="1"/>
    <col min="3018" max="3018" width="9" style="1"/>
    <col min="3019" max="3019" width="9.625" style="1"/>
    <col min="3020" max="3032" width="9" style="1"/>
    <col min="3033" max="3033" width="9.625" style="1"/>
    <col min="3034" max="3034" width="9" style="1"/>
    <col min="3035" max="3035" width="9.625" style="1"/>
    <col min="3036" max="3048" width="9" style="1"/>
    <col min="3049" max="3049" width="9.625" style="1"/>
    <col min="3050" max="3050" width="9" style="1"/>
    <col min="3051" max="3051" width="9.625" style="1"/>
    <col min="3052" max="3064" width="9" style="1"/>
    <col min="3065" max="3065" width="9.625" style="1"/>
    <col min="3066" max="3066" width="9" style="1"/>
    <col min="3067" max="3067" width="9.625" style="1"/>
    <col min="3068" max="3080" width="9" style="1"/>
    <col min="3081" max="3081" width="9.625" style="1"/>
    <col min="3082" max="3082" width="9" style="1"/>
    <col min="3083" max="3083" width="9.625" style="1"/>
    <col min="3084" max="3096" width="9" style="1"/>
    <col min="3097" max="3097" width="9.625" style="1"/>
    <col min="3098" max="3098" width="9" style="1"/>
    <col min="3099" max="3099" width="9.625" style="1"/>
    <col min="3100" max="3112" width="9" style="1"/>
    <col min="3113" max="3113" width="9.625" style="1"/>
    <col min="3114" max="3114" width="9" style="1"/>
    <col min="3115" max="3115" width="9.625" style="1"/>
    <col min="3116" max="3128" width="9" style="1"/>
    <col min="3129" max="3129" width="9.625" style="1"/>
    <col min="3130" max="3130" width="9" style="1"/>
    <col min="3131" max="3131" width="9.625" style="1"/>
    <col min="3132" max="3144" width="9" style="1"/>
    <col min="3145" max="3145" width="9.625" style="1"/>
    <col min="3146" max="3146" width="9" style="1"/>
    <col min="3147" max="3147" width="9.625" style="1"/>
    <col min="3148" max="3160" width="9" style="1"/>
    <col min="3161" max="3161" width="9.625" style="1"/>
    <col min="3162" max="3162" width="9" style="1"/>
    <col min="3163" max="3163" width="9.625" style="1"/>
    <col min="3164" max="3176" width="9" style="1"/>
    <col min="3177" max="3177" width="9.625" style="1"/>
    <col min="3178" max="3178" width="9" style="1"/>
    <col min="3179" max="3179" width="9.625" style="1"/>
    <col min="3180" max="3192" width="9" style="1"/>
    <col min="3193" max="3193" width="9.625" style="1"/>
    <col min="3194" max="3194" width="9" style="1"/>
    <col min="3195" max="3195" width="9.625" style="1"/>
    <col min="3196" max="3208" width="9" style="1"/>
    <col min="3209" max="3209" width="9.625" style="1"/>
    <col min="3210" max="3210" width="9" style="1"/>
    <col min="3211" max="3211" width="9.625" style="1"/>
    <col min="3212" max="3224" width="9" style="1"/>
    <col min="3225" max="3225" width="9.625" style="1"/>
    <col min="3226" max="3226" width="9" style="1"/>
    <col min="3227" max="3227" width="9.625" style="1"/>
    <col min="3228" max="3240" width="9" style="1"/>
    <col min="3241" max="3241" width="9.625" style="1"/>
    <col min="3242" max="3242" width="9" style="1"/>
    <col min="3243" max="3243" width="9.625" style="1"/>
    <col min="3244" max="3256" width="9" style="1"/>
    <col min="3257" max="3257" width="9.625" style="1"/>
    <col min="3258" max="3258" width="9" style="1"/>
    <col min="3259" max="3259" width="9.625" style="1"/>
    <col min="3260" max="3272" width="9" style="1"/>
    <col min="3273" max="3273" width="9.625" style="1"/>
    <col min="3274" max="3274" width="9" style="1"/>
    <col min="3275" max="3275" width="9.625" style="1"/>
    <col min="3276" max="3288" width="9" style="1"/>
    <col min="3289" max="3289" width="9.625" style="1"/>
    <col min="3290" max="3290" width="9" style="1"/>
    <col min="3291" max="3291" width="9.625" style="1"/>
    <col min="3292" max="3304" width="9" style="1"/>
    <col min="3305" max="3305" width="9.625" style="1"/>
    <col min="3306" max="3306" width="9" style="1"/>
    <col min="3307" max="3307" width="9.625" style="1"/>
    <col min="3308" max="3320" width="9" style="1"/>
    <col min="3321" max="3321" width="9.625" style="1"/>
    <col min="3322" max="3322" width="9" style="1"/>
    <col min="3323" max="3323" width="9.625" style="1"/>
    <col min="3324" max="3336" width="9" style="1"/>
    <col min="3337" max="3337" width="9.625" style="1"/>
    <col min="3338" max="3338" width="9" style="1"/>
    <col min="3339" max="3339" width="9.625" style="1"/>
    <col min="3340" max="3352" width="9" style="1"/>
    <col min="3353" max="3353" width="9.625" style="1"/>
    <col min="3354" max="3354" width="9" style="1"/>
    <col min="3355" max="3355" width="9.625" style="1"/>
    <col min="3356" max="3368" width="9" style="1"/>
    <col min="3369" max="3369" width="9.625" style="1"/>
    <col min="3370" max="3370" width="9" style="1"/>
    <col min="3371" max="3371" width="9.625" style="1"/>
    <col min="3372" max="3384" width="9" style="1"/>
    <col min="3385" max="3385" width="9.625" style="1"/>
    <col min="3386" max="3386" width="9" style="1"/>
    <col min="3387" max="3387" width="9.625" style="1"/>
    <col min="3388" max="3400" width="9" style="1"/>
    <col min="3401" max="3401" width="9.625" style="1"/>
    <col min="3402" max="3402" width="9" style="1"/>
    <col min="3403" max="3403" width="9.625" style="1"/>
    <col min="3404" max="3416" width="9" style="1"/>
    <col min="3417" max="3417" width="9.625" style="1"/>
    <col min="3418" max="3418" width="9" style="1"/>
    <col min="3419" max="3419" width="9.625" style="1"/>
    <col min="3420" max="3432" width="9" style="1"/>
    <col min="3433" max="3433" width="9.625" style="1"/>
    <col min="3434" max="3434" width="9" style="1"/>
    <col min="3435" max="3435" width="9.625" style="1"/>
    <col min="3436" max="3448" width="9" style="1"/>
    <col min="3449" max="3449" width="9.625" style="1"/>
    <col min="3450" max="3450" width="9" style="1"/>
    <col min="3451" max="3451" width="9.625" style="1"/>
    <col min="3452" max="3464" width="9" style="1"/>
    <col min="3465" max="3465" width="9.625" style="1"/>
    <col min="3466" max="3466" width="9" style="1"/>
    <col min="3467" max="3467" width="9.625" style="1"/>
    <col min="3468" max="3480" width="9" style="1"/>
    <col min="3481" max="3481" width="9.625" style="1"/>
    <col min="3482" max="3482" width="9" style="1"/>
    <col min="3483" max="3483" width="9.625" style="1"/>
    <col min="3484" max="3496" width="9" style="1"/>
    <col min="3497" max="3497" width="9.625" style="1"/>
    <col min="3498" max="3498" width="9" style="1"/>
    <col min="3499" max="3499" width="9.625" style="1"/>
    <col min="3500" max="3512" width="9" style="1"/>
    <col min="3513" max="3513" width="9.625" style="1"/>
    <col min="3514" max="3514" width="9" style="1"/>
    <col min="3515" max="3515" width="9.625" style="1"/>
    <col min="3516" max="3528" width="9" style="1"/>
    <col min="3529" max="3529" width="9.625" style="1"/>
    <col min="3530" max="3530" width="9" style="1"/>
    <col min="3531" max="3531" width="9.625" style="1"/>
    <col min="3532" max="3544" width="9" style="1"/>
    <col min="3545" max="3545" width="9.625" style="1"/>
    <col min="3546" max="3546" width="9" style="1"/>
    <col min="3547" max="3547" width="9.625" style="1"/>
    <col min="3548" max="3560" width="9" style="1"/>
    <col min="3561" max="3561" width="9.625" style="1"/>
    <col min="3562" max="3562" width="9" style="1"/>
    <col min="3563" max="3563" width="9.625" style="1"/>
    <col min="3564" max="3576" width="9" style="1"/>
    <col min="3577" max="3577" width="9.625" style="1"/>
    <col min="3578" max="3578" width="9" style="1"/>
    <col min="3579" max="3579" width="9.625" style="1"/>
    <col min="3580" max="3592" width="9" style="1"/>
    <col min="3593" max="3593" width="9.625" style="1"/>
    <col min="3594" max="3594" width="9" style="1"/>
    <col min="3595" max="3595" width="9.625" style="1"/>
    <col min="3596" max="3608" width="9" style="1"/>
    <col min="3609" max="3609" width="9.625" style="1"/>
    <col min="3610" max="3610" width="9" style="1"/>
    <col min="3611" max="3611" width="9.625" style="1"/>
    <col min="3612" max="3624" width="9" style="1"/>
    <col min="3625" max="3625" width="9.625" style="1"/>
    <col min="3626" max="3626" width="9" style="1"/>
    <col min="3627" max="3627" width="9.625" style="1"/>
    <col min="3628" max="3640" width="9" style="1"/>
    <col min="3641" max="3641" width="9.625" style="1"/>
    <col min="3642" max="3642" width="9" style="1"/>
    <col min="3643" max="3643" width="9.625" style="1"/>
    <col min="3644" max="3656" width="9" style="1"/>
    <col min="3657" max="3657" width="9.625" style="1"/>
    <col min="3658" max="3658" width="9" style="1"/>
    <col min="3659" max="3659" width="9.625" style="1"/>
    <col min="3660" max="3672" width="9" style="1"/>
    <col min="3673" max="3673" width="9.625" style="1"/>
    <col min="3674" max="3674" width="9" style="1"/>
    <col min="3675" max="3675" width="9.625" style="1"/>
    <col min="3676" max="3688" width="9" style="1"/>
    <col min="3689" max="3689" width="9.625" style="1"/>
    <col min="3690" max="3690" width="9" style="1"/>
    <col min="3691" max="3691" width="9.625" style="1"/>
    <col min="3692" max="3704" width="9" style="1"/>
    <col min="3705" max="3705" width="9.625" style="1"/>
    <col min="3706" max="3706" width="9" style="1"/>
    <col min="3707" max="3707" width="9.625" style="1"/>
    <col min="3708" max="3720" width="9" style="1"/>
    <col min="3721" max="3721" width="9.625" style="1"/>
    <col min="3722" max="3722" width="9" style="1"/>
    <col min="3723" max="3723" width="9.625" style="1"/>
    <col min="3724" max="3736" width="9" style="1"/>
    <col min="3737" max="3737" width="9.625" style="1"/>
    <col min="3738" max="3738" width="9" style="1"/>
    <col min="3739" max="3739" width="9.625" style="1"/>
    <col min="3740" max="3752" width="9" style="1"/>
    <col min="3753" max="3753" width="9.625" style="1"/>
    <col min="3754" max="3754" width="9" style="1"/>
    <col min="3755" max="3755" width="9.625" style="1"/>
    <col min="3756" max="3768" width="9" style="1"/>
    <col min="3769" max="3769" width="9.625" style="1"/>
    <col min="3770" max="3770" width="9" style="1"/>
    <col min="3771" max="3771" width="9.625" style="1"/>
    <col min="3772" max="3784" width="9" style="1"/>
    <col min="3785" max="3785" width="9.625" style="1"/>
    <col min="3786" max="3786" width="9" style="1"/>
    <col min="3787" max="3787" width="9.625" style="1"/>
    <col min="3788" max="3800" width="9" style="1"/>
    <col min="3801" max="3801" width="9.625" style="1"/>
    <col min="3802" max="3802" width="9" style="1"/>
    <col min="3803" max="3803" width="9.625" style="1"/>
    <col min="3804" max="3816" width="9" style="1"/>
    <col min="3817" max="3817" width="9.625" style="1"/>
    <col min="3818" max="3818" width="9" style="1"/>
    <col min="3819" max="3819" width="9.625" style="1"/>
    <col min="3820" max="3832" width="9" style="1"/>
    <col min="3833" max="3833" width="9.625" style="1"/>
    <col min="3834" max="3834" width="9" style="1"/>
    <col min="3835" max="3835" width="9.625" style="1"/>
    <col min="3836" max="3848" width="9" style="1"/>
    <col min="3849" max="3849" width="9.625" style="1"/>
    <col min="3850" max="3850" width="9" style="1"/>
    <col min="3851" max="3851" width="9.625" style="1"/>
    <col min="3852" max="3864" width="9" style="1"/>
    <col min="3865" max="3865" width="9.625" style="1"/>
    <col min="3866" max="3866" width="9" style="1"/>
    <col min="3867" max="3867" width="9.625" style="1"/>
    <col min="3868" max="3880" width="9" style="1"/>
    <col min="3881" max="3881" width="9.625" style="1"/>
    <col min="3882" max="3882" width="9" style="1"/>
    <col min="3883" max="3883" width="9.625" style="1"/>
    <col min="3884" max="3896" width="9" style="1"/>
    <col min="3897" max="3897" width="9.625" style="1"/>
    <col min="3898" max="3898" width="9" style="1"/>
    <col min="3899" max="3899" width="9.625" style="1"/>
    <col min="3900" max="3912" width="9" style="1"/>
    <col min="3913" max="3913" width="9.625" style="1"/>
    <col min="3914" max="3914" width="9" style="1"/>
    <col min="3915" max="3915" width="9.625" style="1"/>
    <col min="3916" max="3928" width="9" style="1"/>
    <col min="3929" max="3929" width="9.625" style="1"/>
    <col min="3930" max="3930" width="9" style="1"/>
    <col min="3931" max="3931" width="9.625" style="1"/>
    <col min="3932" max="3944" width="9" style="1"/>
    <col min="3945" max="3945" width="9.625" style="1"/>
    <col min="3946" max="3946" width="9" style="1"/>
    <col min="3947" max="3947" width="9.625" style="1"/>
    <col min="3948" max="3960" width="9" style="1"/>
    <col min="3961" max="3961" width="9.625" style="1"/>
    <col min="3962" max="3962" width="9" style="1"/>
    <col min="3963" max="3963" width="9.625" style="1"/>
    <col min="3964" max="3976" width="9" style="1"/>
    <col min="3977" max="3977" width="9.625" style="1"/>
    <col min="3978" max="3978" width="9" style="1"/>
    <col min="3979" max="3979" width="9.625" style="1"/>
    <col min="3980" max="3992" width="9" style="1"/>
    <col min="3993" max="3993" width="9.625" style="1"/>
    <col min="3994" max="3994" width="9" style="1"/>
    <col min="3995" max="3995" width="9.625" style="1"/>
    <col min="3996" max="4008" width="9" style="1"/>
    <col min="4009" max="4009" width="9.625" style="1"/>
    <col min="4010" max="4010" width="9" style="1"/>
    <col min="4011" max="4011" width="9.625" style="1"/>
    <col min="4012" max="4024" width="9" style="1"/>
    <col min="4025" max="4025" width="9.625" style="1"/>
    <col min="4026" max="4026" width="9" style="1"/>
    <col min="4027" max="4027" width="9.625" style="1"/>
    <col min="4028" max="4040" width="9" style="1"/>
    <col min="4041" max="4041" width="9.625" style="1"/>
    <col min="4042" max="4042" width="9" style="1"/>
    <col min="4043" max="4043" width="9.625" style="1"/>
    <col min="4044" max="4056" width="9" style="1"/>
    <col min="4057" max="4057" width="9.625" style="1"/>
    <col min="4058" max="4058" width="9" style="1"/>
    <col min="4059" max="4059" width="9.625" style="1"/>
    <col min="4060" max="4072" width="9" style="1"/>
    <col min="4073" max="4073" width="9.625" style="1"/>
    <col min="4074" max="4074" width="9" style="1"/>
    <col min="4075" max="4075" width="9.625" style="1"/>
    <col min="4076" max="4088" width="9" style="1"/>
    <col min="4089" max="4089" width="9.625" style="1"/>
    <col min="4090" max="4090" width="9" style="1"/>
    <col min="4091" max="4091" width="9.625" style="1"/>
    <col min="4092" max="4104" width="9" style="1"/>
    <col min="4105" max="4105" width="9.625" style="1"/>
    <col min="4106" max="4106" width="9" style="1"/>
    <col min="4107" max="4107" width="9.625" style="1"/>
    <col min="4108" max="4120" width="9" style="1"/>
    <col min="4121" max="4121" width="9.625" style="1"/>
    <col min="4122" max="4122" width="9" style="1"/>
    <col min="4123" max="4123" width="9.625" style="1"/>
    <col min="4124" max="4136" width="9" style="1"/>
    <col min="4137" max="4137" width="9.625" style="1"/>
    <col min="4138" max="4138" width="9" style="1"/>
    <col min="4139" max="4139" width="9.625" style="1"/>
    <col min="4140" max="4152" width="9" style="1"/>
    <col min="4153" max="4153" width="9.625" style="1"/>
    <col min="4154" max="4154" width="9" style="1"/>
    <col min="4155" max="4155" width="9.625" style="1"/>
    <col min="4156" max="4168" width="9" style="1"/>
    <col min="4169" max="4169" width="9.625" style="1"/>
    <col min="4170" max="4170" width="9" style="1"/>
    <col min="4171" max="4171" width="9.625" style="1"/>
    <col min="4172" max="4184" width="9" style="1"/>
    <col min="4185" max="4185" width="9.625" style="1"/>
    <col min="4186" max="4186" width="9" style="1"/>
    <col min="4187" max="4187" width="9.625" style="1"/>
    <col min="4188" max="4200" width="9" style="1"/>
    <col min="4201" max="4201" width="9.625" style="1"/>
    <col min="4202" max="4202" width="9" style="1"/>
    <col min="4203" max="4203" width="9.625" style="1"/>
    <col min="4204" max="4216" width="9" style="1"/>
    <col min="4217" max="4217" width="9.625" style="1"/>
    <col min="4218" max="4218" width="9" style="1"/>
    <col min="4219" max="4219" width="9.625" style="1"/>
    <col min="4220" max="4232" width="9" style="1"/>
    <col min="4233" max="4233" width="9.625" style="1"/>
    <col min="4234" max="4234" width="9" style="1"/>
    <col min="4235" max="4235" width="9.625" style="1"/>
    <col min="4236" max="4248" width="9" style="1"/>
    <col min="4249" max="4249" width="9.625" style="1"/>
    <col min="4250" max="4250" width="9" style="1"/>
    <col min="4251" max="4251" width="9.625" style="1"/>
    <col min="4252" max="4264" width="9" style="1"/>
    <col min="4265" max="4265" width="9.625" style="1"/>
    <col min="4266" max="4266" width="9" style="1"/>
    <col min="4267" max="4267" width="9.625" style="1"/>
    <col min="4268" max="4280" width="9" style="1"/>
    <col min="4281" max="4281" width="9.625" style="1"/>
    <col min="4282" max="4282" width="9" style="1"/>
    <col min="4283" max="4283" width="9.625" style="1"/>
    <col min="4284" max="4296" width="9" style="1"/>
    <col min="4297" max="4297" width="9.625" style="1"/>
    <col min="4298" max="4298" width="9" style="1"/>
    <col min="4299" max="4299" width="9.625" style="1"/>
    <col min="4300" max="4312" width="9" style="1"/>
    <col min="4313" max="4313" width="9.625" style="1"/>
    <col min="4314" max="4314" width="9" style="1"/>
    <col min="4315" max="4315" width="9.625" style="1"/>
    <col min="4316" max="4328" width="9" style="1"/>
    <col min="4329" max="4329" width="9.625" style="1"/>
    <col min="4330" max="4330" width="9" style="1"/>
    <col min="4331" max="4331" width="9.625" style="1"/>
    <col min="4332" max="4344" width="9" style="1"/>
    <col min="4345" max="4345" width="9.625" style="1"/>
    <col min="4346" max="4346" width="9" style="1"/>
    <col min="4347" max="4347" width="9.625" style="1"/>
    <col min="4348" max="4360" width="9" style="1"/>
    <col min="4361" max="4361" width="9.625" style="1"/>
    <col min="4362" max="4362" width="9" style="1"/>
    <col min="4363" max="4363" width="9.625" style="1"/>
    <col min="4364" max="4376" width="9" style="1"/>
    <col min="4377" max="4377" width="9.625" style="1"/>
    <col min="4378" max="4378" width="9" style="1"/>
    <col min="4379" max="4379" width="9.625" style="1"/>
    <col min="4380" max="4392" width="9" style="1"/>
    <col min="4393" max="4393" width="9.625" style="1"/>
    <col min="4394" max="4394" width="9" style="1"/>
    <col min="4395" max="4395" width="9.625" style="1"/>
    <col min="4396" max="4408" width="9" style="1"/>
    <col min="4409" max="4409" width="9.625" style="1"/>
    <col min="4410" max="4410" width="9" style="1"/>
    <col min="4411" max="4411" width="9.625" style="1"/>
    <col min="4412" max="4424" width="9" style="1"/>
    <col min="4425" max="4425" width="9.625" style="1"/>
    <col min="4426" max="4426" width="9" style="1"/>
    <col min="4427" max="4427" width="9.625" style="1"/>
    <col min="4428" max="4440" width="9" style="1"/>
    <col min="4441" max="4441" width="9.625" style="1"/>
    <col min="4442" max="4442" width="9" style="1"/>
    <col min="4443" max="4443" width="9.625" style="1"/>
    <col min="4444" max="4456" width="9" style="1"/>
    <col min="4457" max="4457" width="9.625" style="1"/>
    <col min="4458" max="4458" width="9" style="1"/>
    <col min="4459" max="4459" width="9.625" style="1"/>
    <col min="4460" max="4472" width="9" style="1"/>
    <col min="4473" max="4473" width="9.625" style="1"/>
    <col min="4474" max="4474" width="9" style="1"/>
    <col min="4475" max="4475" width="9.625" style="1"/>
    <col min="4476" max="4488" width="9" style="1"/>
    <col min="4489" max="4489" width="9.625" style="1"/>
    <col min="4490" max="4490" width="9" style="1"/>
    <col min="4491" max="4491" width="9.625" style="1"/>
    <col min="4492" max="4504" width="9" style="1"/>
    <col min="4505" max="4505" width="9.625" style="1"/>
    <col min="4506" max="4506" width="9" style="1"/>
    <col min="4507" max="4507" width="9.625" style="1"/>
    <col min="4508" max="4520" width="9" style="1"/>
    <col min="4521" max="4521" width="9.625" style="1"/>
    <col min="4522" max="4522" width="9" style="1"/>
    <col min="4523" max="4523" width="9.625" style="1"/>
    <col min="4524" max="4536" width="9" style="1"/>
    <col min="4537" max="4537" width="9.625" style="1"/>
    <col min="4538" max="4538" width="9" style="1"/>
    <col min="4539" max="4539" width="9.625" style="1"/>
    <col min="4540" max="4552" width="9" style="1"/>
    <col min="4553" max="4553" width="9.625" style="1"/>
    <col min="4554" max="4554" width="9" style="1"/>
    <col min="4555" max="4555" width="9.625" style="1"/>
    <col min="4556" max="4568" width="9" style="1"/>
    <col min="4569" max="4569" width="9.625" style="1"/>
    <col min="4570" max="4570" width="9" style="1"/>
    <col min="4571" max="4571" width="9.625" style="1"/>
    <col min="4572" max="4584" width="9" style="1"/>
    <col min="4585" max="4585" width="9.625" style="1"/>
    <col min="4586" max="4586" width="9" style="1"/>
    <col min="4587" max="4587" width="9.625" style="1"/>
    <col min="4588" max="4600" width="9" style="1"/>
    <col min="4601" max="4601" width="9.625" style="1"/>
    <col min="4602" max="4602" width="9" style="1"/>
    <col min="4603" max="4603" width="9.625" style="1"/>
    <col min="4604" max="4616" width="9" style="1"/>
    <col min="4617" max="4617" width="9.625" style="1"/>
    <col min="4618" max="4618" width="9" style="1"/>
    <col min="4619" max="4619" width="9.625" style="1"/>
    <col min="4620" max="4632" width="9" style="1"/>
    <col min="4633" max="4633" width="9.625" style="1"/>
    <col min="4634" max="4634" width="9" style="1"/>
    <col min="4635" max="4635" width="9.625" style="1"/>
    <col min="4636" max="4648" width="9" style="1"/>
    <col min="4649" max="4649" width="9.625" style="1"/>
    <col min="4650" max="4650" width="9" style="1"/>
    <col min="4651" max="4651" width="9.625" style="1"/>
    <col min="4652" max="4664" width="9" style="1"/>
    <col min="4665" max="4665" width="9.625" style="1"/>
    <col min="4666" max="4666" width="9" style="1"/>
    <col min="4667" max="4667" width="9.625" style="1"/>
    <col min="4668" max="4680" width="9" style="1"/>
    <col min="4681" max="4681" width="9.625" style="1"/>
    <col min="4682" max="4682" width="9" style="1"/>
    <col min="4683" max="4683" width="9.625" style="1"/>
    <col min="4684" max="4696" width="9" style="1"/>
    <col min="4697" max="4697" width="9.625" style="1"/>
    <col min="4698" max="4698" width="9" style="1"/>
    <col min="4699" max="4699" width="9.625" style="1"/>
    <col min="4700" max="4712" width="9" style="1"/>
    <col min="4713" max="4713" width="9.625" style="1"/>
    <col min="4714" max="4714" width="9" style="1"/>
    <col min="4715" max="4715" width="9.625" style="1"/>
    <col min="4716" max="4728" width="9" style="1"/>
    <col min="4729" max="4729" width="9.625" style="1"/>
    <col min="4730" max="4730" width="9" style="1"/>
    <col min="4731" max="4731" width="9.625" style="1"/>
    <col min="4732" max="4744" width="9" style="1"/>
    <col min="4745" max="4745" width="9.625" style="1"/>
    <col min="4746" max="4746" width="9" style="1"/>
    <col min="4747" max="4747" width="9.625" style="1"/>
    <col min="4748" max="4760" width="9" style="1"/>
    <col min="4761" max="4761" width="9.625" style="1"/>
    <col min="4762" max="4762" width="9" style="1"/>
    <col min="4763" max="4763" width="9.625" style="1"/>
    <col min="4764" max="4776" width="9" style="1"/>
    <col min="4777" max="4777" width="9.625" style="1"/>
    <col min="4778" max="4778" width="9" style="1"/>
    <col min="4779" max="4779" width="9.625" style="1"/>
    <col min="4780" max="4792" width="9" style="1"/>
    <col min="4793" max="4793" width="9.625" style="1"/>
    <col min="4794" max="4794" width="9" style="1"/>
    <col min="4795" max="4795" width="9.625" style="1"/>
    <col min="4796" max="4808" width="9" style="1"/>
    <col min="4809" max="4809" width="9.625" style="1"/>
    <col min="4810" max="4810" width="9" style="1"/>
    <col min="4811" max="4811" width="9.625" style="1"/>
    <col min="4812" max="4824" width="9" style="1"/>
    <col min="4825" max="4825" width="9.625" style="1"/>
    <col min="4826" max="4826" width="9" style="1"/>
    <col min="4827" max="4827" width="9.625" style="1"/>
    <col min="4828" max="4840" width="9" style="1"/>
    <col min="4841" max="4841" width="9.625" style="1"/>
    <col min="4842" max="4842" width="9" style="1"/>
    <col min="4843" max="4843" width="9.625" style="1"/>
    <col min="4844" max="4856" width="9" style="1"/>
    <col min="4857" max="4857" width="9.625" style="1"/>
    <col min="4858" max="4858" width="9" style="1"/>
    <col min="4859" max="4859" width="9.625" style="1"/>
    <col min="4860" max="4872" width="9" style="1"/>
    <col min="4873" max="4873" width="9.625" style="1"/>
    <col min="4874" max="4874" width="9" style="1"/>
    <col min="4875" max="4875" width="9.625" style="1"/>
    <col min="4876" max="4888" width="9" style="1"/>
    <col min="4889" max="4889" width="9.625" style="1"/>
    <col min="4890" max="4890" width="9" style="1"/>
    <col min="4891" max="4891" width="9.625" style="1"/>
    <col min="4892" max="4904" width="9" style="1"/>
    <col min="4905" max="4905" width="9.625" style="1"/>
    <col min="4906" max="4906" width="9" style="1"/>
    <col min="4907" max="4907" width="9.625" style="1"/>
    <col min="4908" max="4920" width="9" style="1"/>
    <col min="4921" max="4921" width="9.625" style="1"/>
    <col min="4922" max="4922" width="9" style="1"/>
    <col min="4923" max="4923" width="9.625" style="1"/>
    <col min="4924" max="4936" width="9" style="1"/>
    <col min="4937" max="4937" width="9.625" style="1"/>
    <col min="4938" max="4938" width="9" style="1"/>
    <col min="4939" max="4939" width="9.625" style="1"/>
    <col min="4940" max="4952" width="9" style="1"/>
    <col min="4953" max="4953" width="9.625" style="1"/>
    <col min="4954" max="4954" width="9" style="1"/>
    <col min="4955" max="4955" width="9.625" style="1"/>
    <col min="4956" max="4968" width="9" style="1"/>
    <col min="4969" max="4969" width="9.625" style="1"/>
    <col min="4970" max="4970" width="9" style="1"/>
    <col min="4971" max="4971" width="9.625" style="1"/>
    <col min="4972" max="4984" width="9" style="1"/>
    <col min="4985" max="4985" width="9.625" style="1"/>
    <col min="4986" max="4986" width="9" style="1"/>
    <col min="4987" max="4987" width="9.625" style="1"/>
    <col min="4988" max="5000" width="9" style="1"/>
    <col min="5001" max="5001" width="9.625" style="1"/>
    <col min="5002" max="5002" width="9" style="1"/>
    <col min="5003" max="5003" width="9.625" style="1"/>
    <col min="5004" max="5016" width="9" style="1"/>
    <col min="5017" max="5017" width="9.625" style="1"/>
    <col min="5018" max="5018" width="9" style="1"/>
    <col min="5019" max="5019" width="9.625" style="1"/>
    <col min="5020" max="5032" width="9" style="1"/>
    <col min="5033" max="5033" width="9.625" style="1"/>
    <col min="5034" max="5034" width="9" style="1"/>
    <col min="5035" max="5035" width="9.625" style="1"/>
    <col min="5036" max="5048" width="9" style="1"/>
    <col min="5049" max="5049" width="9.625" style="1"/>
    <col min="5050" max="5050" width="9" style="1"/>
    <col min="5051" max="5051" width="9.625" style="1"/>
    <col min="5052" max="5064" width="9" style="1"/>
    <col min="5065" max="5065" width="9.625" style="1"/>
    <col min="5066" max="5066" width="9" style="1"/>
    <col min="5067" max="5067" width="9.625" style="1"/>
    <col min="5068" max="5080" width="9" style="1"/>
    <col min="5081" max="5081" width="9.625" style="1"/>
    <col min="5082" max="5082" width="9" style="1"/>
    <col min="5083" max="5083" width="9.625" style="1"/>
    <col min="5084" max="5096" width="9" style="1"/>
    <col min="5097" max="5097" width="9.625" style="1"/>
    <col min="5098" max="5098" width="9" style="1"/>
    <col min="5099" max="5099" width="9.625" style="1"/>
    <col min="5100" max="5112" width="9" style="1"/>
    <col min="5113" max="5113" width="9.625" style="1"/>
    <col min="5114" max="5114" width="9" style="1"/>
    <col min="5115" max="5115" width="9.625" style="1"/>
    <col min="5116" max="5128" width="9" style="1"/>
    <col min="5129" max="5129" width="9.625" style="1"/>
    <col min="5130" max="5130" width="9" style="1"/>
    <col min="5131" max="5131" width="9.625" style="1"/>
    <col min="5132" max="5144" width="9" style="1"/>
    <col min="5145" max="5145" width="9.625" style="1"/>
    <col min="5146" max="5146" width="9" style="1"/>
    <col min="5147" max="5147" width="9.625" style="1"/>
    <col min="5148" max="5160" width="9" style="1"/>
    <col min="5161" max="5161" width="9.625" style="1"/>
    <col min="5162" max="5162" width="9" style="1"/>
    <col min="5163" max="5163" width="9.625" style="1"/>
    <col min="5164" max="5176" width="9" style="1"/>
    <col min="5177" max="5177" width="9.625" style="1"/>
    <col min="5178" max="5178" width="9" style="1"/>
    <col min="5179" max="5179" width="9.625" style="1"/>
    <col min="5180" max="5192" width="9" style="1"/>
    <col min="5193" max="5193" width="9.625" style="1"/>
    <col min="5194" max="5194" width="9" style="1"/>
    <col min="5195" max="5195" width="9.625" style="1"/>
    <col min="5196" max="5208" width="9" style="1"/>
    <col min="5209" max="5209" width="9.625" style="1"/>
    <col min="5210" max="5210" width="9" style="1"/>
    <col min="5211" max="5211" width="9.625" style="1"/>
    <col min="5212" max="5224" width="9" style="1"/>
    <col min="5225" max="5225" width="9.625" style="1"/>
    <col min="5226" max="5226" width="9" style="1"/>
    <col min="5227" max="5227" width="9.625" style="1"/>
    <col min="5228" max="5240" width="9" style="1"/>
    <col min="5241" max="5241" width="9.625" style="1"/>
    <col min="5242" max="5242" width="9" style="1"/>
    <col min="5243" max="5243" width="9.625" style="1"/>
    <col min="5244" max="5256" width="9" style="1"/>
    <col min="5257" max="5257" width="9.625" style="1"/>
    <col min="5258" max="5258" width="9" style="1"/>
    <col min="5259" max="5259" width="9.625" style="1"/>
    <col min="5260" max="5272" width="9" style="1"/>
    <col min="5273" max="5273" width="9.625" style="1"/>
    <col min="5274" max="5274" width="9" style="1"/>
    <col min="5275" max="5275" width="9.625" style="1"/>
    <col min="5276" max="5288" width="9" style="1"/>
    <col min="5289" max="5289" width="9.625" style="1"/>
    <col min="5290" max="5290" width="9" style="1"/>
    <col min="5291" max="5291" width="9.625" style="1"/>
    <col min="5292" max="5304" width="9" style="1"/>
    <col min="5305" max="5305" width="9.625" style="1"/>
    <col min="5306" max="5306" width="9" style="1"/>
    <col min="5307" max="5307" width="9.625" style="1"/>
    <col min="5308" max="5320" width="9" style="1"/>
    <col min="5321" max="5321" width="9.625" style="1"/>
    <col min="5322" max="5322" width="9" style="1"/>
    <col min="5323" max="5323" width="9.625" style="1"/>
    <col min="5324" max="5336" width="9" style="1"/>
    <col min="5337" max="5337" width="9.625" style="1"/>
    <col min="5338" max="5338" width="9" style="1"/>
    <col min="5339" max="5339" width="9.625" style="1"/>
    <col min="5340" max="5352" width="9" style="1"/>
    <col min="5353" max="5353" width="9.625" style="1"/>
    <col min="5354" max="5354" width="9" style="1"/>
    <col min="5355" max="5355" width="9.625" style="1"/>
    <col min="5356" max="5368" width="9" style="1"/>
    <col min="5369" max="5369" width="9.625" style="1"/>
    <col min="5370" max="5370" width="9" style="1"/>
    <col min="5371" max="5371" width="9.625" style="1"/>
    <col min="5372" max="5384" width="9" style="1"/>
    <col min="5385" max="5385" width="9.625" style="1"/>
    <col min="5386" max="5386" width="9" style="1"/>
    <col min="5387" max="5387" width="9.625" style="1"/>
    <col min="5388" max="5400" width="9" style="1"/>
    <col min="5401" max="5401" width="9.625" style="1"/>
    <col min="5402" max="5402" width="9" style="1"/>
    <col min="5403" max="5403" width="9.625" style="1"/>
    <col min="5404" max="5416" width="9" style="1"/>
    <col min="5417" max="5417" width="9.625" style="1"/>
    <col min="5418" max="5418" width="9" style="1"/>
    <col min="5419" max="5419" width="9.625" style="1"/>
    <col min="5420" max="5432" width="9" style="1"/>
    <col min="5433" max="5433" width="9.625" style="1"/>
    <col min="5434" max="5434" width="9" style="1"/>
    <col min="5435" max="5435" width="9.625" style="1"/>
    <col min="5436" max="5448" width="9" style="1"/>
    <col min="5449" max="5449" width="9.625" style="1"/>
    <col min="5450" max="5450" width="9" style="1"/>
    <col min="5451" max="5451" width="9.625" style="1"/>
    <col min="5452" max="5464" width="9" style="1"/>
    <col min="5465" max="5465" width="9.625" style="1"/>
    <col min="5466" max="5466" width="9" style="1"/>
    <col min="5467" max="5467" width="9.625" style="1"/>
    <col min="5468" max="5480" width="9" style="1"/>
    <col min="5481" max="5481" width="9.625" style="1"/>
    <col min="5482" max="5482" width="9" style="1"/>
    <col min="5483" max="5483" width="9.625" style="1"/>
    <col min="5484" max="5496" width="9" style="1"/>
    <col min="5497" max="5497" width="9.625" style="1"/>
    <col min="5498" max="5498" width="9" style="1"/>
    <col min="5499" max="5499" width="9.625" style="1"/>
    <col min="5500" max="5512" width="9" style="1"/>
    <col min="5513" max="5513" width="9.625" style="1"/>
    <col min="5514" max="5514" width="9" style="1"/>
    <col min="5515" max="5515" width="9.625" style="1"/>
    <col min="5516" max="5528" width="9" style="1"/>
    <col min="5529" max="5529" width="9.625" style="1"/>
    <col min="5530" max="5530" width="9" style="1"/>
    <col min="5531" max="5531" width="9.625" style="1"/>
    <col min="5532" max="5544" width="9" style="1"/>
    <col min="5545" max="5545" width="9.625" style="1"/>
    <col min="5546" max="5546" width="9" style="1"/>
    <col min="5547" max="5547" width="9.625" style="1"/>
    <col min="5548" max="5560" width="9" style="1"/>
    <col min="5561" max="5561" width="9.625" style="1"/>
    <col min="5562" max="5562" width="9" style="1"/>
    <col min="5563" max="5563" width="9.625" style="1"/>
    <col min="5564" max="5576" width="9" style="1"/>
    <col min="5577" max="5577" width="9.625" style="1"/>
    <col min="5578" max="5578" width="9" style="1"/>
    <col min="5579" max="5579" width="9.625" style="1"/>
    <col min="5580" max="5592" width="9" style="1"/>
    <col min="5593" max="5593" width="9.625" style="1"/>
    <col min="5594" max="5594" width="9" style="1"/>
    <col min="5595" max="5595" width="9.625" style="1"/>
    <col min="5596" max="5608" width="9" style="1"/>
    <col min="5609" max="5609" width="9.625" style="1"/>
    <col min="5610" max="5610" width="9" style="1"/>
    <col min="5611" max="5611" width="9.625" style="1"/>
    <col min="5612" max="5624" width="9" style="1"/>
    <col min="5625" max="5625" width="9.625" style="1"/>
    <col min="5626" max="5626" width="9" style="1"/>
    <col min="5627" max="5627" width="9.625" style="1"/>
    <col min="5628" max="5640" width="9" style="1"/>
    <col min="5641" max="5641" width="9.625" style="1"/>
    <col min="5642" max="5642" width="9" style="1"/>
    <col min="5643" max="5643" width="9.625" style="1"/>
    <col min="5644" max="5656" width="9" style="1"/>
    <col min="5657" max="5657" width="9.625" style="1"/>
    <col min="5658" max="5658" width="9" style="1"/>
    <col min="5659" max="5659" width="9.625" style="1"/>
    <col min="5660" max="5672" width="9" style="1"/>
    <col min="5673" max="5673" width="9.625" style="1"/>
    <col min="5674" max="5674" width="9" style="1"/>
    <col min="5675" max="5675" width="9.625" style="1"/>
    <col min="5676" max="5688" width="9" style="1"/>
    <col min="5689" max="5689" width="9.625" style="1"/>
    <col min="5690" max="5690" width="9" style="1"/>
    <col min="5691" max="5691" width="9.625" style="1"/>
    <col min="5692" max="5704" width="9" style="1"/>
    <col min="5705" max="5705" width="9.625" style="1"/>
    <col min="5706" max="5706" width="9" style="1"/>
    <col min="5707" max="5707" width="9.625" style="1"/>
    <col min="5708" max="5720" width="9" style="1"/>
    <col min="5721" max="5721" width="9.625" style="1"/>
    <col min="5722" max="5722" width="9" style="1"/>
    <col min="5723" max="5723" width="9.625" style="1"/>
    <col min="5724" max="5736" width="9" style="1"/>
    <col min="5737" max="5737" width="9.625" style="1"/>
    <col min="5738" max="5738" width="9" style="1"/>
    <col min="5739" max="5739" width="9.625" style="1"/>
    <col min="5740" max="5752" width="9" style="1"/>
    <col min="5753" max="5753" width="9.625" style="1"/>
    <col min="5754" max="5754" width="9" style="1"/>
    <col min="5755" max="5755" width="9.625" style="1"/>
    <col min="5756" max="5768" width="9" style="1"/>
    <col min="5769" max="5769" width="9.625" style="1"/>
    <col min="5770" max="5770" width="9" style="1"/>
    <col min="5771" max="5771" width="9.625" style="1"/>
    <col min="5772" max="5784" width="9" style="1"/>
    <col min="5785" max="5785" width="9.625" style="1"/>
    <col min="5786" max="5786" width="9" style="1"/>
    <col min="5787" max="5787" width="9.625" style="1"/>
    <col min="5788" max="5800" width="9" style="1"/>
    <col min="5801" max="5801" width="9.625" style="1"/>
    <col min="5802" max="5802" width="9" style="1"/>
    <col min="5803" max="5803" width="9.625" style="1"/>
    <col min="5804" max="5816" width="9" style="1"/>
    <col min="5817" max="5817" width="9.625" style="1"/>
    <col min="5818" max="5818" width="9" style="1"/>
    <col min="5819" max="5819" width="9.625" style="1"/>
    <col min="5820" max="5832" width="9" style="1"/>
    <col min="5833" max="5833" width="9.625" style="1"/>
    <col min="5834" max="5834" width="9" style="1"/>
    <col min="5835" max="5835" width="9.625" style="1"/>
    <col min="5836" max="5848" width="9" style="1"/>
    <col min="5849" max="5849" width="9.625" style="1"/>
    <col min="5850" max="5850" width="9" style="1"/>
    <col min="5851" max="5851" width="9.625" style="1"/>
    <col min="5852" max="5864" width="9" style="1"/>
    <col min="5865" max="5865" width="9.625" style="1"/>
    <col min="5866" max="5866" width="9" style="1"/>
    <col min="5867" max="5867" width="9.625" style="1"/>
    <col min="5868" max="5880" width="9" style="1"/>
    <col min="5881" max="5881" width="9.625" style="1"/>
    <col min="5882" max="5882" width="9" style="1"/>
    <col min="5883" max="5883" width="9.625" style="1"/>
    <col min="5884" max="5896" width="9" style="1"/>
    <col min="5897" max="5897" width="9.625" style="1"/>
    <col min="5898" max="5898" width="9" style="1"/>
    <col min="5899" max="5899" width="9.625" style="1"/>
    <col min="5900" max="5912" width="9" style="1"/>
    <col min="5913" max="5913" width="9.625" style="1"/>
    <col min="5914" max="5914" width="9" style="1"/>
    <col min="5915" max="5915" width="9.625" style="1"/>
    <col min="5916" max="5928" width="9" style="1"/>
    <col min="5929" max="5929" width="9.625" style="1"/>
    <col min="5930" max="5930" width="9" style="1"/>
    <col min="5931" max="5931" width="9.625" style="1"/>
    <col min="5932" max="5944" width="9" style="1"/>
    <col min="5945" max="5945" width="9.625" style="1"/>
    <col min="5946" max="5946" width="9" style="1"/>
    <col min="5947" max="5947" width="9.625" style="1"/>
    <col min="5948" max="5960" width="9" style="1"/>
    <col min="5961" max="5961" width="9.625" style="1"/>
    <col min="5962" max="5962" width="9" style="1"/>
    <col min="5963" max="5963" width="9.625" style="1"/>
    <col min="5964" max="5976" width="9" style="1"/>
    <col min="5977" max="5977" width="9.625" style="1"/>
    <col min="5978" max="5978" width="9" style="1"/>
    <col min="5979" max="5979" width="9.625" style="1"/>
    <col min="5980" max="5992" width="9" style="1"/>
    <col min="5993" max="5993" width="9.625" style="1"/>
    <col min="5994" max="5994" width="9" style="1"/>
    <col min="5995" max="5995" width="9.625" style="1"/>
    <col min="5996" max="6008" width="9" style="1"/>
    <col min="6009" max="6009" width="9.625" style="1"/>
    <col min="6010" max="6010" width="9" style="1"/>
    <col min="6011" max="6011" width="9.625" style="1"/>
    <col min="6012" max="6024" width="9" style="1"/>
    <col min="6025" max="6025" width="9.625" style="1"/>
    <col min="6026" max="6026" width="9" style="1"/>
    <col min="6027" max="6027" width="9.625" style="1"/>
    <col min="6028" max="6040" width="9" style="1"/>
    <col min="6041" max="6041" width="9.625" style="1"/>
    <col min="6042" max="6042" width="9" style="1"/>
    <col min="6043" max="6043" width="9.625" style="1"/>
    <col min="6044" max="6056" width="9" style="1"/>
    <col min="6057" max="6057" width="9.625" style="1"/>
    <col min="6058" max="6058" width="9" style="1"/>
    <col min="6059" max="6059" width="9.625" style="1"/>
    <col min="6060" max="6072" width="9" style="1"/>
    <col min="6073" max="6073" width="9.625" style="1"/>
    <col min="6074" max="6074" width="9" style="1"/>
    <col min="6075" max="6075" width="9.625" style="1"/>
    <col min="6076" max="6088" width="9" style="1"/>
    <col min="6089" max="6089" width="9.625" style="1"/>
    <col min="6090" max="6090" width="9" style="1"/>
    <col min="6091" max="6091" width="9.625" style="1"/>
    <col min="6092" max="6104" width="9" style="1"/>
    <col min="6105" max="6105" width="9.625" style="1"/>
    <col min="6106" max="6106" width="9" style="1"/>
    <col min="6107" max="6107" width="9.625" style="1"/>
    <col min="6108" max="6120" width="9" style="1"/>
    <col min="6121" max="6121" width="9.625" style="1"/>
    <col min="6122" max="6122" width="9" style="1"/>
    <col min="6123" max="6123" width="9.625" style="1"/>
    <col min="6124" max="6136" width="9" style="1"/>
    <col min="6137" max="6137" width="9.625" style="1"/>
    <col min="6138" max="6138" width="9" style="1"/>
    <col min="6139" max="6139" width="9.625" style="1"/>
    <col min="6140" max="6152" width="9" style="1"/>
    <col min="6153" max="6153" width="9.625" style="1"/>
    <col min="6154" max="6154" width="9" style="1"/>
    <col min="6155" max="6155" width="9.625" style="1"/>
    <col min="6156" max="6168" width="9" style="1"/>
    <col min="6169" max="6169" width="9.625" style="1"/>
    <col min="6170" max="6170" width="9" style="1"/>
    <col min="6171" max="6171" width="9.625" style="1"/>
    <col min="6172" max="6184" width="9" style="1"/>
    <col min="6185" max="6185" width="9.625" style="1"/>
    <col min="6186" max="6186" width="9" style="1"/>
    <col min="6187" max="6187" width="9.625" style="1"/>
    <col min="6188" max="6200" width="9" style="1"/>
    <col min="6201" max="6201" width="9.625" style="1"/>
    <col min="6202" max="6202" width="9" style="1"/>
    <col min="6203" max="6203" width="9.625" style="1"/>
    <col min="6204" max="6216" width="9" style="1"/>
    <col min="6217" max="6217" width="9.625" style="1"/>
    <col min="6218" max="6218" width="9" style="1"/>
    <col min="6219" max="6219" width="9.625" style="1"/>
    <col min="6220" max="6232" width="9" style="1"/>
    <col min="6233" max="6233" width="9.625" style="1"/>
    <col min="6234" max="6234" width="9" style="1"/>
    <col min="6235" max="6235" width="9.625" style="1"/>
    <col min="6236" max="6248" width="9" style="1"/>
    <col min="6249" max="6249" width="9.625" style="1"/>
    <col min="6250" max="6250" width="9" style="1"/>
    <col min="6251" max="6251" width="9.625" style="1"/>
    <col min="6252" max="6264" width="9" style="1"/>
    <col min="6265" max="6265" width="9.625" style="1"/>
    <col min="6266" max="6266" width="9" style="1"/>
    <col min="6267" max="6267" width="9.625" style="1"/>
    <col min="6268" max="6280" width="9" style="1"/>
    <col min="6281" max="6281" width="9.625" style="1"/>
    <col min="6282" max="6282" width="9" style="1"/>
    <col min="6283" max="6283" width="9.625" style="1"/>
    <col min="6284" max="6296" width="9" style="1"/>
    <col min="6297" max="6297" width="9.625" style="1"/>
    <col min="6298" max="6298" width="9" style="1"/>
    <col min="6299" max="6299" width="9.625" style="1"/>
    <col min="6300" max="6312" width="9" style="1"/>
    <col min="6313" max="6313" width="9.625" style="1"/>
    <col min="6314" max="6314" width="9" style="1"/>
    <col min="6315" max="6315" width="9.625" style="1"/>
    <col min="6316" max="6328" width="9" style="1"/>
    <col min="6329" max="6329" width="9.625" style="1"/>
    <col min="6330" max="6330" width="9" style="1"/>
    <col min="6331" max="6331" width="9.625" style="1"/>
    <col min="6332" max="6344" width="9" style="1"/>
    <col min="6345" max="6345" width="9.625" style="1"/>
    <col min="6346" max="6346" width="9" style="1"/>
    <col min="6347" max="6347" width="9.625" style="1"/>
    <col min="6348" max="6360" width="9" style="1"/>
    <col min="6361" max="6361" width="9.625" style="1"/>
    <col min="6362" max="6362" width="9" style="1"/>
    <col min="6363" max="6363" width="9.625" style="1"/>
    <col min="6364" max="6376" width="9" style="1"/>
    <col min="6377" max="6377" width="9.625" style="1"/>
    <col min="6378" max="6378" width="9" style="1"/>
    <col min="6379" max="6379" width="9.625" style="1"/>
    <col min="6380" max="6392" width="9" style="1"/>
    <col min="6393" max="6393" width="9.625" style="1"/>
    <col min="6394" max="6394" width="9" style="1"/>
    <col min="6395" max="6395" width="9.625" style="1"/>
    <col min="6396" max="6408" width="9" style="1"/>
    <col min="6409" max="6409" width="9.625" style="1"/>
    <col min="6410" max="6410" width="9" style="1"/>
    <col min="6411" max="6411" width="9.625" style="1"/>
    <col min="6412" max="6424" width="9" style="1"/>
    <col min="6425" max="6425" width="9.625" style="1"/>
    <col min="6426" max="6426" width="9" style="1"/>
    <col min="6427" max="6427" width="9.625" style="1"/>
    <col min="6428" max="6440" width="9" style="1"/>
    <col min="6441" max="6441" width="9.625" style="1"/>
    <col min="6442" max="6442" width="9" style="1"/>
    <col min="6443" max="6443" width="9.625" style="1"/>
    <col min="6444" max="6456" width="9" style="1"/>
    <col min="6457" max="6457" width="9.625" style="1"/>
    <col min="6458" max="6458" width="9" style="1"/>
    <col min="6459" max="6459" width="9.625" style="1"/>
    <col min="6460" max="6472" width="9" style="1"/>
    <col min="6473" max="6473" width="9.625" style="1"/>
    <col min="6474" max="6474" width="9" style="1"/>
    <col min="6475" max="6475" width="9.625" style="1"/>
    <col min="6476" max="6488" width="9" style="1"/>
    <col min="6489" max="6489" width="9.625" style="1"/>
    <col min="6490" max="6490" width="9" style="1"/>
    <col min="6491" max="6491" width="9.625" style="1"/>
    <col min="6492" max="6504" width="9" style="1"/>
    <col min="6505" max="6505" width="9.625" style="1"/>
    <col min="6506" max="6506" width="9" style="1"/>
    <col min="6507" max="6507" width="9.625" style="1"/>
    <col min="6508" max="6520" width="9" style="1"/>
    <col min="6521" max="6521" width="9.625" style="1"/>
    <col min="6522" max="6522" width="9" style="1"/>
    <col min="6523" max="6523" width="9.625" style="1"/>
    <col min="6524" max="6536" width="9" style="1"/>
    <col min="6537" max="6537" width="9.625" style="1"/>
    <col min="6538" max="6538" width="9" style="1"/>
    <col min="6539" max="6539" width="9.625" style="1"/>
    <col min="6540" max="6552" width="9" style="1"/>
    <col min="6553" max="6553" width="9.625" style="1"/>
    <col min="6554" max="6554" width="9" style="1"/>
    <col min="6555" max="6555" width="9.625" style="1"/>
    <col min="6556" max="6568" width="9" style="1"/>
    <col min="6569" max="6569" width="9.625" style="1"/>
    <col min="6570" max="6570" width="9" style="1"/>
    <col min="6571" max="6571" width="9.625" style="1"/>
    <col min="6572" max="6584" width="9" style="1"/>
    <col min="6585" max="6585" width="9.625" style="1"/>
    <col min="6586" max="6586" width="9" style="1"/>
    <col min="6587" max="6587" width="9.625" style="1"/>
    <col min="6588" max="6600" width="9" style="1"/>
    <col min="6601" max="6601" width="9.625" style="1"/>
    <col min="6602" max="6602" width="9" style="1"/>
    <col min="6603" max="6603" width="9.625" style="1"/>
    <col min="6604" max="6616" width="9" style="1"/>
    <col min="6617" max="6617" width="9.625" style="1"/>
    <col min="6618" max="6618" width="9" style="1"/>
    <col min="6619" max="6619" width="9.625" style="1"/>
    <col min="6620" max="6632" width="9" style="1"/>
    <col min="6633" max="6633" width="9.625" style="1"/>
    <col min="6634" max="6634" width="9" style="1"/>
    <col min="6635" max="6635" width="9.625" style="1"/>
    <col min="6636" max="6648" width="9" style="1"/>
    <col min="6649" max="6649" width="9.625" style="1"/>
    <col min="6650" max="6650" width="9" style="1"/>
    <col min="6651" max="6651" width="9.625" style="1"/>
    <col min="6652" max="6664" width="9" style="1"/>
    <col min="6665" max="6665" width="9.625" style="1"/>
    <col min="6666" max="6666" width="9" style="1"/>
    <col min="6667" max="6667" width="9.625" style="1"/>
    <col min="6668" max="6680" width="9" style="1"/>
    <col min="6681" max="6681" width="9.625" style="1"/>
    <col min="6682" max="6682" width="9" style="1"/>
    <col min="6683" max="6683" width="9.625" style="1"/>
    <col min="6684" max="6696" width="9" style="1"/>
    <col min="6697" max="6697" width="9.625" style="1"/>
    <col min="6698" max="6698" width="9" style="1"/>
    <col min="6699" max="6699" width="9.625" style="1"/>
    <col min="6700" max="6712" width="9" style="1"/>
    <col min="6713" max="6713" width="9.625" style="1"/>
    <col min="6714" max="6714" width="9" style="1"/>
    <col min="6715" max="6715" width="9.625" style="1"/>
    <col min="6716" max="6728" width="9" style="1"/>
    <col min="6729" max="6729" width="9.625" style="1"/>
    <col min="6730" max="6730" width="9" style="1"/>
    <col min="6731" max="6731" width="9.625" style="1"/>
    <col min="6732" max="6744" width="9" style="1"/>
    <col min="6745" max="6745" width="9.625" style="1"/>
    <col min="6746" max="6746" width="9" style="1"/>
    <col min="6747" max="6747" width="9.625" style="1"/>
    <col min="6748" max="6760" width="9" style="1"/>
    <col min="6761" max="6761" width="9.625" style="1"/>
    <col min="6762" max="6762" width="9" style="1"/>
    <col min="6763" max="6763" width="9.625" style="1"/>
    <col min="6764" max="6776" width="9" style="1"/>
    <col min="6777" max="6777" width="9.625" style="1"/>
    <col min="6778" max="6778" width="9" style="1"/>
    <col min="6779" max="6779" width="9.625" style="1"/>
    <col min="6780" max="6792" width="9" style="1"/>
    <col min="6793" max="6793" width="9.625" style="1"/>
    <col min="6794" max="6794" width="9" style="1"/>
    <col min="6795" max="6795" width="9.625" style="1"/>
    <col min="6796" max="6808" width="9" style="1"/>
    <col min="6809" max="6809" width="9.625" style="1"/>
    <col min="6810" max="6810" width="9" style="1"/>
    <col min="6811" max="6811" width="9.625" style="1"/>
    <col min="6812" max="6824" width="9" style="1"/>
    <col min="6825" max="6825" width="9.625" style="1"/>
    <col min="6826" max="6826" width="9" style="1"/>
    <col min="6827" max="6827" width="9.625" style="1"/>
    <col min="6828" max="6840" width="9" style="1"/>
    <col min="6841" max="6841" width="9.625" style="1"/>
    <col min="6842" max="6842" width="9" style="1"/>
    <col min="6843" max="6843" width="9.625" style="1"/>
    <col min="6844" max="6856" width="9" style="1"/>
    <col min="6857" max="6857" width="9.625" style="1"/>
    <col min="6858" max="6858" width="9" style="1"/>
    <col min="6859" max="6859" width="9.625" style="1"/>
    <col min="6860" max="6872" width="9" style="1"/>
    <col min="6873" max="6873" width="9.625" style="1"/>
    <col min="6874" max="6874" width="9" style="1"/>
    <col min="6875" max="6875" width="9.625" style="1"/>
    <col min="6876" max="6888" width="9" style="1"/>
    <col min="6889" max="6889" width="9.625" style="1"/>
    <col min="6890" max="6890" width="9" style="1"/>
    <col min="6891" max="6891" width="9.625" style="1"/>
    <col min="6892" max="6904" width="9" style="1"/>
    <col min="6905" max="6905" width="9.625" style="1"/>
    <col min="6906" max="6906" width="9" style="1"/>
    <col min="6907" max="6907" width="9.625" style="1"/>
    <col min="6908" max="6920" width="9" style="1"/>
    <col min="6921" max="6921" width="9.625" style="1"/>
    <col min="6922" max="6922" width="9" style="1"/>
    <col min="6923" max="6923" width="9.625" style="1"/>
    <col min="6924" max="6936" width="9" style="1"/>
    <col min="6937" max="6937" width="9.625" style="1"/>
    <col min="6938" max="6938" width="9" style="1"/>
    <col min="6939" max="6939" width="9.625" style="1"/>
    <col min="6940" max="6952" width="9" style="1"/>
    <col min="6953" max="6953" width="9.625" style="1"/>
    <col min="6954" max="6954" width="9" style="1"/>
    <col min="6955" max="6955" width="9.625" style="1"/>
    <col min="6956" max="6968" width="9" style="1"/>
    <col min="6969" max="6969" width="9.625" style="1"/>
    <col min="6970" max="6970" width="9" style="1"/>
    <col min="6971" max="6971" width="9.625" style="1"/>
    <col min="6972" max="6984" width="9" style="1"/>
    <col min="6985" max="6985" width="9.625" style="1"/>
    <col min="6986" max="6986" width="9" style="1"/>
    <col min="6987" max="6987" width="9.625" style="1"/>
    <col min="6988" max="7000" width="9" style="1"/>
    <col min="7001" max="7001" width="9.625" style="1"/>
    <col min="7002" max="7002" width="9" style="1"/>
    <col min="7003" max="7003" width="9.625" style="1"/>
    <col min="7004" max="7016" width="9" style="1"/>
    <col min="7017" max="7017" width="9.625" style="1"/>
    <col min="7018" max="7018" width="9" style="1"/>
    <col min="7019" max="7019" width="9.625" style="1"/>
    <col min="7020" max="7032" width="9" style="1"/>
    <col min="7033" max="7033" width="9.625" style="1"/>
    <col min="7034" max="7034" width="9" style="1"/>
    <col min="7035" max="7035" width="9.625" style="1"/>
    <col min="7036" max="7048" width="9" style="1"/>
    <col min="7049" max="7049" width="9.625" style="1"/>
    <col min="7050" max="7050" width="9" style="1"/>
    <col min="7051" max="7051" width="9.625" style="1"/>
    <col min="7052" max="7064" width="9" style="1"/>
    <col min="7065" max="7065" width="9.625" style="1"/>
    <col min="7066" max="7066" width="9" style="1"/>
    <col min="7067" max="7067" width="9.625" style="1"/>
    <col min="7068" max="7080" width="9" style="1"/>
    <col min="7081" max="7081" width="9.625" style="1"/>
    <col min="7082" max="7082" width="9" style="1"/>
    <col min="7083" max="7083" width="9.625" style="1"/>
    <col min="7084" max="7096" width="9" style="1"/>
    <col min="7097" max="7097" width="9.625" style="1"/>
    <col min="7098" max="7098" width="9" style="1"/>
    <col min="7099" max="7099" width="9.625" style="1"/>
    <col min="7100" max="7112" width="9" style="1"/>
    <col min="7113" max="7113" width="9.625" style="1"/>
    <col min="7114" max="7114" width="9" style="1"/>
    <col min="7115" max="7115" width="9.625" style="1"/>
    <col min="7116" max="7128" width="9" style="1"/>
    <col min="7129" max="7129" width="9.625" style="1"/>
    <col min="7130" max="7130" width="9" style="1"/>
    <col min="7131" max="7131" width="9.625" style="1"/>
    <col min="7132" max="7144" width="9" style="1"/>
    <col min="7145" max="7145" width="9.625" style="1"/>
    <col min="7146" max="7146" width="9" style="1"/>
    <col min="7147" max="7147" width="9.625" style="1"/>
    <col min="7148" max="7160" width="9" style="1"/>
    <col min="7161" max="7161" width="9.625" style="1"/>
    <col min="7162" max="7162" width="9" style="1"/>
    <col min="7163" max="7163" width="9.625" style="1"/>
    <col min="7164" max="7176" width="9" style="1"/>
    <col min="7177" max="7177" width="9.625" style="1"/>
    <col min="7178" max="7178" width="9" style="1"/>
    <col min="7179" max="7179" width="9.625" style="1"/>
    <col min="7180" max="7192" width="9" style="1"/>
    <col min="7193" max="7193" width="9.625" style="1"/>
    <col min="7194" max="7194" width="9" style="1"/>
    <col min="7195" max="7195" width="9.625" style="1"/>
    <col min="7196" max="7208" width="9" style="1"/>
    <col min="7209" max="7209" width="9.625" style="1"/>
    <col min="7210" max="7210" width="9" style="1"/>
    <col min="7211" max="7211" width="9.625" style="1"/>
    <col min="7212" max="7224" width="9" style="1"/>
    <col min="7225" max="7225" width="9.625" style="1"/>
    <col min="7226" max="7226" width="9" style="1"/>
    <col min="7227" max="7227" width="9.625" style="1"/>
    <col min="7228" max="7240" width="9" style="1"/>
    <col min="7241" max="7241" width="9.625" style="1"/>
    <col min="7242" max="7242" width="9" style="1"/>
    <col min="7243" max="7243" width="9.625" style="1"/>
    <col min="7244" max="7256" width="9" style="1"/>
    <col min="7257" max="7257" width="9.625" style="1"/>
    <col min="7258" max="7258" width="9" style="1"/>
    <col min="7259" max="7259" width="9.625" style="1"/>
    <col min="7260" max="7272" width="9" style="1"/>
    <col min="7273" max="7273" width="9.625" style="1"/>
    <col min="7274" max="7274" width="9" style="1"/>
    <col min="7275" max="7275" width="9.625" style="1"/>
    <col min="7276" max="7288" width="9" style="1"/>
    <col min="7289" max="7289" width="9.625" style="1"/>
    <col min="7290" max="7290" width="9" style="1"/>
    <col min="7291" max="7291" width="9.625" style="1"/>
    <col min="7292" max="7304" width="9" style="1"/>
    <col min="7305" max="7305" width="9.625" style="1"/>
    <col min="7306" max="7306" width="9" style="1"/>
    <col min="7307" max="7307" width="9.625" style="1"/>
    <col min="7308" max="7320" width="9" style="1"/>
    <col min="7321" max="7321" width="9.625" style="1"/>
    <col min="7322" max="7322" width="9" style="1"/>
    <col min="7323" max="7323" width="9.625" style="1"/>
    <col min="7324" max="7336" width="9" style="1"/>
    <col min="7337" max="7337" width="9.625" style="1"/>
    <col min="7338" max="7338" width="9" style="1"/>
    <col min="7339" max="7339" width="9.625" style="1"/>
    <col min="7340" max="7352" width="9" style="1"/>
    <col min="7353" max="7353" width="9.625" style="1"/>
    <col min="7354" max="7354" width="9" style="1"/>
    <col min="7355" max="7355" width="9.625" style="1"/>
    <col min="7356" max="7368" width="9" style="1"/>
    <col min="7369" max="7369" width="9.625" style="1"/>
    <col min="7370" max="7370" width="9" style="1"/>
    <col min="7371" max="7371" width="9.625" style="1"/>
    <col min="7372" max="7384" width="9" style="1"/>
    <col min="7385" max="7385" width="9.625" style="1"/>
    <col min="7386" max="7386" width="9" style="1"/>
    <col min="7387" max="7387" width="9.625" style="1"/>
    <col min="7388" max="7400" width="9" style="1"/>
    <col min="7401" max="7401" width="9.625" style="1"/>
    <col min="7402" max="7402" width="9" style="1"/>
    <col min="7403" max="7403" width="9.625" style="1"/>
    <col min="7404" max="7416" width="9" style="1"/>
    <col min="7417" max="7417" width="9.625" style="1"/>
    <col min="7418" max="7418" width="9" style="1"/>
    <col min="7419" max="7419" width="9.625" style="1"/>
    <col min="7420" max="7432" width="9" style="1"/>
    <col min="7433" max="7433" width="9.625" style="1"/>
    <col min="7434" max="7434" width="9" style="1"/>
    <col min="7435" max="7435" width="9.625" style="1"/>
    <col min="7436" max="7448" width="9" style="1"/>
    <col min="7449" max="7449" width="9.625" style="1"/>
    <col min="7450" max="7450" width="9" style="1"/>
    <col min="7451" max="7451" width="9.625" style="1"/>
    <col min="7452" max="7464" width="9" style="1"/>
    <col min="7465" max="7465" width="9.625" style="1"/>
    <col min="7466" max="7466" width="9" style="1"/>
    <col min="7467" max="7467" width="9.625" style="1"/>
    <col min="7468" max="7480" width="9" style="1"/>
    <col min="7481" max="7481" width="9.625" style="1"/>
    <col min="7482" max="7482" width="9" style="1"/>
    <col min="7483" max="7483" width="9.625" style="1"/>
    <col min="7484" max="7496" width="9" style="1"/>
    <col min="7497" max="7497" width="9.625" style="1"/>
    <col min="7498" max="7498" width="9" style="1"/>
    <col min="7499" max="7499" width="9.625" style="1"/>
    <col min="7500" max="7512" width="9" style="1"/>
    <col min="7513" max="7513" width="9.625" style="1"/>
    <col min="7514" max="7514" width="9" style="1"/>
    <col min="7515" max="7515" width="9.625" style="1"/>
    <col min="7516" max="7528" width="9" style="1"/>
    <col min="7529" max="7529" width="9.625" style="1"/>
    <col min="7530" max="7530" width="9" style="1"/>
    <col min="7531" max="7531" width="9.625" style="1"/>
    <col min="7532" max="7544" width="9" style="1"/>
    <col min="7545" max="7545" width="9.625" style="1"/>
    <col min="7546" max="7546" width="9" style="1"/>
    <col min="7547" max="7547" width="9.625" style="1"/>
    <col min="7548" max="7560" width="9" style="1"/>
    <col min="7561" max="7561" width="9.625" style="1"/>
    <col min="7562" max="7562" width="9" style="1"/>
    <col min="7563" max="7563" width="9.625" style="1"/>
    <col min="7564" max="7576" width="9" style="1"/>
    <col min="7577" max="7577" width="9.625" style="1"/>
    <col min="7578" max="7578" width="9" style="1"/>
    <col min="7579" max="7579" width="9.625" style="1"/>
    <col min="7580" max="7592" width="9" style="1"/>
    <col min="7593" max="7593" width="9.625" style="1"/>
    <col min="7594" max="7594" width="9" style="1"/>
    <col min="7595" max="7595" width="9.625" style="1"/>
    <col min="7596" max="7608" width="9" style="1"/>
    <col min="7609" max="7609" width="9.625" style="1"/>
    <col min="7610" max="7610" width="9" style="1"/>
    <col min="7611" max="7611" width="9.625" style="1"/>
    <col min="7612" max="7624" width="9" style="1"/>
    <col min="7625" max="7625" width="9.625" style="1"/>
    <col min="7626" max="7626" width="9" style="1"/>
    <col min="7627" max="7627" width="9.625" style="1"/>
    <col min="7628" max="7640" width="9" style="1"/>
    <col min="7641" max="7641" width="9.625" style="1"/>
    <col min="7642" max="7642" width="9" style="1"/>
    <col min="7643" max="7643" width="9.625" style="1"/>
    <col min="7644" max="7656" width="9" style="1"/>
    <col min="7657" max="7657" width="9.625" style="1"/>
    <col min="7658" max="7658" width="9" style="1"/>
    <col min="7659" max="7659" width="9.625" style="1"/>
    <col min="7660" max="7672" width="9" style="1"/>
    <col min="7673" max="7673" width="9.625" style="1"/>
    <col min="7674" max="7674" width="9" style="1"/>
    <col min="7675" max="7675" width="9.625" style="1"/>
    <col min="7676" max="7688" width="9" style="1"/>
    <col min="7689" max="7689" width="9.625" style="1"/>
    <col min="7690" max="7690" width="9" style="1"/>
    <col min="7691" max="7691" width="9.625" style="1"/>
    <col min="7692" max="7704" width="9" style="1"/>
    <col min="7705" max="7705" width="9.625" style="1"/>
    <col min="7706" max="7706" width="9" style="1"/>
    <col min="7707" max="7707" width="9.625" style="1"/>
    <col min="7708" max="7720" width="9" style="1"/>
    <col min="7721" max="7721" width="9.625" style="1"/>
    <col min="7722" max="7722" width="9" style="1"/>
    <col min="7723" max="7723" width="9.625" style="1"/>
    <col min="7724" max="7736" width="9" style="1"/>
    <col min="7737" max="7737" width="9.625" style="1"/>
    <col min="7738" max="7738" width="9" style="1"/>
    <col min="7739" max="7739" width="9.625" style="1"/>
    <col min="7740" max="7752" width="9" style="1"/>
    <col min="7753" max="7753" width="9.625" style="1"/>
    <col min="7754" max="7754" width="9" style="1"/>
    <col min="7755" max="7755" width="9.625" style="1"/>
    <col min="7756" max="7768" width="9" style="1"/>
    <col min="7769" max="7769" width="9.625" style="1"/>
    <col min="7770" max="7770" width="9" style="1"/>
    <col min="7771" max="7771" width="9.625" style="1"/>
    <col min="7772" max="7784" width="9" style="1"/>
    <col min="7785" max="7785" width="9.625" style="1"/>
    <col min="7786" max="7786" width="9" style="1"/>
    <col min="7787" max="7787" width="9.625" style="1"/>
    <col min="7788" max="7800" width="9" style="1"/>
    <col min="7801" max="7801" width="9.625" style="1"/>
    <col min="7802" max="7802" width="9" style="1"/>
    <col min="7803" max="7803" width="9.625" style="1"/>
    <col min="7804" max="7816" width="9" style="1"/>
    <col min="7817" max="7817" width="9.625" style="1"/>
    <col min="7818" max="7818" width="9" style="1"/>
    <col min="7819" max="7819" width="9.625" style="1"/>
    <col min="7820" max="7832" width="9" style="1"/>
    <col min="7833" max="7833" width="9.625" style="1"/>
    <col min="7834" max="7834" width="9" style="1"/>
    <col min="7835" max="7835" width="9.625" style="1"/>
    <col min="7836" max="7848" width="9" style="1"/>
    <col min="7849" max="7849" width="9.625" style="1"/>
    <col min="7850" max="7850" width="9" style="1"/>
    <col min="7851" max="7851" width="9.625" style="1"/>
    <col min="7852" max="7864" width="9" style="1"/>
    <col min="7865" max="7865" width="9.625" style="1"/>
    <col min="7866" max="7866" width="9" style="1"/>
    <col min="7867" max="7867" width="9.625" style="1"/>
    <col min="7868" max="7880" width="9" style="1"/>
    <col min="7881" max="7881" width="9.625" style="1"/>
    <col min="7882" max="7882" width="9" style="1"/>
    <col min="7883" max="7883" width="9.625" style="1"/>
    <col min="7884" max="7896" width="9" style="1"/>
    <col min="7897" max="7897" width="9.625" style="1"/>
    <col min="7898" max="7898" width="9" style="1"/>
    <col min="7899" max="7899" width="9.625" style="1"/>
    <col min="7900" max="7912" width="9" style="1"/>
    <col min="7913" max="7913" width="9.625" style="1"/>
    <col min="7914" max="7914" width="9" style="1"/>
    <col min="7915" max="7915" width="9.625" style="1"/>
    <col min="7916" max="7928" width="9" style="1"/>
    <col min="7929" max="7929" width="9.625" style="1"/>
    <col min="7930" max="7930" width="9" style="1"/>
    <col min="7931" max="7931" width="9.625" style="1"/>
    <col min="7932" max="7944" width="9" style="1"/>
    <col min="7945" max="7945" width="9.625" style="1"/>
    <col min="7946" max="7946" width="9" style="1"/>
    <col min="7947" max="7947" width="9.625" style="1"/>
    <col min="7948" max="7960" width="9" style="1"/>
    <col min="7961" max="7961" width="9.625" style="1"/>
    <col min="7962" max="7962" width="9" style="1"/>
    <col min="7963" max="7963" width="9.625" style="1"/>
    <col min="7964" max="7976" width="9" style="1"/>
    <col min="7977" max="7977" width="9.625" style="1"/>
    <col min="7978" max="7978" width="9" style="1"/>
    <col min="7979" max="7979" width="9.625" style="1"/>
    <col min="7980" max="7992" width="9" style="1"/>
    <col min="7993" max="7993" width="9.625" style="1"/>
    <col min="7994" max="7994" width="9" style="1"/>
    <col min="7995" max="7995" width="9.625" style="1"/>
    <col min="7996" max="8008" width="9" style="1"/>
    <col min="8009" max="8009" width="9.625" style="1"/>
    <col min="8010" max="8010" width="9" style="1"/>
    <col min="8011" max="8011" width="9.625" style="1"/>
    <col min="8012" max="8024" width="9" style="1"/>
    <col min="8025" max="8025" width="9.625" style="1"/>
    <col min="8026" max="8026" width="9" style="1"/>
    <col min="8027" max="8027" width="9.625" style="1"/>
    <col min="8028" max="8040" width="9" style="1"/>
    <col min="8041" max="8041" width="9.625" style="1"/>
    <col min="8042" max="8042" width="9" style="1"/>
    <col min="8043" max="8043" width="9.625" style="1"/>
    <col min="8044" max="8056" width="9" style="1"/>
    <col min="8057" max="8057" width="9.625" style="1"/>
    <col min="8058" max="8058" width="9" style="1"/>
    <col min="8059" max="8059" width="9.625" style="1"/>
    <col min="8060" max="8072" width="9" style="1"/>
    <col min="8073" max="8073" width="9.625" style="1"/>
    <col min="8074" max="8074" width="9" style="1"/>
    <col min="8075" max="8075" width="9.625" style="1"/>
    <col min="8076" max="8088" width="9" style="1"/>
    <col min="8089" max="8089" width="9.625" style="1"/>
    <col min="8090" max="8090" width="9" style="1"/>
    <col min="8091" max="8091" width="9.625" style="1"/>
    <col min="8092" max="8104" width="9" style="1"/>
    <col min="8105" max="8105" width="9.625" style="1"/>
    <col min="8106" max="8106" width="9" style="1"/>
    <col min="8107" max="8107" width="9.625" style="1"/>
    <col min="8108" max="8120" width="9" style="1"/>
    <col min="8121" max="8121" width="9.625" style="1"/>
    <col min="8122" max="8122" width="9" style="1"/>
    <col min="8123" max="8123" width="9.625" style="1"/>
    <col min="8124" max="8136" width="9" style="1"/>
    <col min="8137" max="8137" width="9.625" style="1"/>
    <col min="8138" max="8138" width="9" style="1"/>
    <col min="8139" max="8139" width="9.625" style="1"/>
    <col min="8140" max="8152" width="9" style="1"/>
    <col min="8153" max="8153" width="9.625" style="1"/>
    <col min="8154" max="8154" width="9" style="1"/>
    <col min="8155" max="8155" width="9.625" style="1"/>
    <col min="8156" max="8168" width="9" style="1"/>
    <col min="8169" max="8169" width="9.625" style="1"/>
    <col min="8170" max="8170" width="9" style="1"/>
    <col min="8171" max="8171" width="9.625" style="1"/>
    <col min="8172" max="8184" width="9" style="1"/>
    <col min="8185" max="8185" width="9.625" style="1"/>
    <col min="8186" max="8186" width="9" style="1"/>
    <col min="8187" max="8187" width="9.625" style="1"/>
    <col min="8188" max="8200" width="9" style="1"/>
    <col min="8201" max="8201" width="9.625" style="1"/>
    <col min="8202" max="8202" width="9" style="1"/>
    <col min="8203" max="8203" width="9.625" style="1"/>
    <col min="8204" max="8216" width="9" style="1"/>
    <col min="8217" max="8217" width="9.625" style="1"/>
    <col min="8218" max="8218" width="9" style="1"/>
    <col min="8219" max="8219" width="9.625" style="1"/>
    <col min="8220" max="8232" width="9" style="1"/>
    <col min="8233" max="8233" width="9.625" style="1"/>
    <col min="8234" max="8234" width="9" style="1"/>
    <col min="8235" max="8235" width="9.625" style="1"/>
    <col min="8236" max="8248" width="9" style="1"/>
    <col min="8249" max="8249" width="9.625" style="1"/>
    <col min="8250" max="8250" width="9" style="1"/>
    <col min="8251" max="8251" width="9.625" style="1"/>
    <col min="8252" max="8264" width="9" style="1"/>
    <col min="8265" max="8265" width="9.625" style="1"/>
    <col min="8266" max="8266" width="9" style="1"/>
    <col min="8267" max="8267" width="9.625" style="1"/>
    <col min="8268" max="8280" width="9" style="1"/>
    <col min="8281" max="8281" width="9.625" style="1"/>
    <col min="8282" max="8282" width="9" style="1"/>
    <col min="8283" max="8283" width="9.625" style="1"/>
    <col min="8284" max="8296" width="9" style="1"/>
    <col min="8297" max="8297" width="9.625" style="1"/>
    <col min="8298" max="8298" width="9" style="1"/>
    <col min="8299" max="8299" width="9.625" style="1"/>
    <col min="8300" max="8312" width="9" style="1"/>
    <col min="8313" max="8313" width="9.625" style="1"/>
    <col min="8314" max="8314" width="9" style="1"/>
    <col min="8315" max="8315" width="9.625" style="1"/>
    <col min="8316" max="8328" width="9" style="1"/>
    <col min="8329" max="8329" width="9.625" style="1"/>
    <col min="8330" max="8330" width="9" style="1"/>
    <col min="8331" max="8331" width="9.625" style="1"/>
    <col min="8332" max="8344" width="9" style="1"/>
    <col min="8345" max="8345" width="9.625" style="1"/>
    <col min="8346" max="8346" width="9" style="1"/>
    <col min="8347" max="8347" width="9.625" style="1"/>
    <col min="8348" max="8360" width="9" style="1"/>
    <col min="8361" max="8361" width="9.625" style="1"/>
    <col min="8362" max="8362" width="9" style="1"/>
    <col min="8363" max="8363" width="9.625" style="1"/>
    <col min="8364" max="8376" width="9" style="1"/>
    <col min="8377" max="8377" width="9.625" style="1"/>
    <col min="8378" max="8378" width="9" style="1"/>
    <col min="8379" max="8379" width="9.625" style="1"/>
    <col min="8380" max="8392" width="9" style="1"/>
    <col min="8393" max="8393" width="9.625" style="1"/>
    <col min="8394" max="8394" width="9" style="1"/>
    <col min="8395" max="8395" width="9.625" style="1"/>
    <col min="8396" max="8408" width="9" style="1"/>
    <col min="8409" max="8409" width="9.625" style="1"/>
    <col min="8410" max="8410" width="9" style="1"/>
    <col min="8411" max="8411" width="9.625" style="1"/>
    <col min="8412" max="8424" width="9" style="1"/>
    <col min="8425" max="8425" width="9.625" style="1"/>
    <col min="8426" max="8426" width="9" style="1"/>
    <col min="8427" max="8427" width="9.625" style="1"/>
    <col min="8428" max="8440" width="9" style="1"/>
    <col min="8441" max="8441" width="9.625" style="1"/>
    <col min="8442" max="8442" width="9" style="1"/>
    <col min="8443" max="8443" width="9.625" style="1"/>
    <col min="8444" max="8456" width="9" style="1"/>
    <col min="8457" max="8457" width="9.625" style="1"/>
    <col min="8458" max="8458" width="9" style="1"/>
    <col min="8459" max="8459" width="9.625" style="1"/>
    <col min="8460" max="8472" width="9" style="1"/>
    <col min="8473" max="8473" width="9.625" style="1"/>
    <col min="8474" max="8474" width="9" style="1"/>
    <col min="8475" max="8475" width="9.625" style="1"/>
    <col min="8476" max="8488" width="9" style="1"/>
    <col min="8489" max="8489" width="9.625" style="1"/>
    <col min="8490" max="8490" width="9" style="1"/>
    <col min="8491" max="8491" width="9.625" style="1"/>
    <col min="8492" max="8504" width="9" style="1"/>
    <col min="8505" max="8505" width="9.625" style="1"/>
    <col min="8506" max="8506" width="9" style="1"/>
    <col min="8507" max="8507" width="9.625" style="1"/>
    <col min="8508" max="8520" width="9" style="1"/>
    <col min="8521" max="8521" width="9.625" style="1"/>
    <col min="8522" max="8522" width="9" style="1"/>
    <col min="8523" max="8523" width="9.625" style="1"/>
    <col min="8524" max="8536" width="9" style="1"/>
    <col min="8537" max="8537" width="9.625" style="1"/>
    <col min="8538" max="8538" width="9" style="1"/>
    <col min="8539" max="8539" width="9.625" style="1"/>
    <col min="8540" max="8552" width="9" style="1"/>
    <col min="8553" max="8553" width="9.625" style="1"/>
    <col min="8554" max="8554" width="9" style="1"/>
    <col min="8555" max="8555" width="9.625" style="1"/>
    <col min="8556" max="8568" width="9" style="1"/>
    <col min="8569" max="8569" width="9.625" style="1"/>
    <col min="8570" max="8570" width="9" style="1"/>
    <col min="8571" max="8571" width="9.625" style="1"/>
    <col min="8572" max="8584" width="9" style="1"/>
    <col min="8585" max="8585" width="9.625" style="1"/>
    <col min="8586" max="8586" width="9" style="1"/>
    <col min="8587" max="8587" width="9.625" style="1"/>
    <col min="8588" max="8600" width="9" style="1"/>
    <col min="8601" max="8601" width="9.625" style="1"/>
    <col min="8602" max="8602" width="9" style="1"/>
    <col min="8603" max="8603" width="9.625" style="1"/>
    <col min="8604" max="8616" width="9" style="1"/>
    <col min="8617" max="8617" width="9.625" style="1"/>
    <col min="8618" max="8618" width="9" style="1"/>
    <col min="8619" max="8619" width="9.625" style="1"/>
    <col min="8620" max="8632" width="9" style="1"/>
    <col min="8633" max="8633" width="9.625" style="1"/>
    <col min="8634" max="8634" width="9" style="1"/>
    <col min="8635" max="8635" width="9.625" style="1"/>
    <col min="8636" max="8648" width="9" style="1"/>
    <col min="8649" max="8649" width="9.625" style="1"/>
    <col min="8650" max="8650" width="9" style="1"/>
    <col min="8651" max="8651" width="9.625" style="1"/>
    <col min="8652" max="8664" width="9" style="1"/>
    <col min="8665" max="8665" width="9.625" style="1"/>
    <col min="8666" max="8666" width="9" style="1"/>
    <col min="8667" max="8667" width="9.625" style="1"/>
    <col min="8668" max="8680" width="9" style="1"/>
    <col min="8681" max="8681" width="9.625" style="1"/>
    <col min="8682" max="8682" width="9" style="1"/>
    <col min="8683" max="8683" width="9.625" style="1"/>
    <col min="8684" max="8696" width="9" style="1"/>
    <col min="8697" max="8697" width="9.625" style="1"/>
    <col min="8698" max="8698" width="9" style="1"/>
    <col min="8699" max="8699" width="9.625" style="1"/>
    <col min="8700" max="8712" width="9" style="1"/>
    <col min="8713" max="8713" width="9.625" style="1"/>
    <col min="8714" max="8714" width="9" style="1"/>
    <col min="8715" max="8715" width="9.625" style="1"/>
    <col min="8716" max="8728" width="9" style="1"/>
    <col min="8729" max="8729" width="9.625" style="1"/>
    <col min="8730" max="8730" width="9" style="1"/>
    <col min="8731" max="8731" width="9.625" style="1"/>
    <col min="8732" max="8744" width="9" style="1"/>
    <col min="8745" max="8745" width="9.625" style="1"/>
    <col min="8746" max="8746" width="9" style="1"/>
    <col min="8747" max="8747" width="9.625" style="1"/>
    <col min="8748" max="8760" width="9" style="1"/>
    <col min="8761" max="8761" width="9.625" style="1"/>
    <col min="8762" max="8762" width="9" style="1"/>
    <col min="8763" max="8763" width="9.625" style="1"/>
    <col min="8764" max="8776" width="9" style="1"/>
    <col min="8777" max="8777" width="9.625" style="1"/>
    <col min="8778" max="8778" width="9" style="1"/>
    <col min="8779" max="8779" width="9.625" style="1"/>
    <col min="8780" max="8792" width="9" style="1"/>
    <col min="8793" max="8793" width="9.625" style="1"/>
    <col min="8794" max="8794" width="9" style="1"/>
    <col min="8795" max="8795" width="9.625" style="1"/>
    <col min="8796" max="8808" width="9" style="1"/>
    <col min="8809" max="8809" width="9.625" style="1"/>
    <col min="8810" max="8810" width="9" style="1"/>
    <col min="8811" max="8811" width="9.625" style="1"/>
    <col min="8812" max="8824" width="9" style="1"/>
    <col min="8825" max="8825" width="9.625" style="1"/>
    <col min="8826" max="8826" width="9" style="1"/>
    <col min="8827" max="8827" width="9.625" style="1"/>
    <col min="8828" max="8840" width="9" style="1"/>
    <col min="8841" max="8841" width="9.625" style="1"/>
    <col min="8842" max="8842" width="9" style="1"/>
    <col min="8843" max="8843" width="9.625" style="1"/>
    <col min="8844" max="8856" width="9" style="1"/>
    <col min="8857" max="8857" width="9.625" style="1"/>
    <col min="8858" max="8858" width="9" style="1"/>
    <col min="8859" max="8859" width="9.625" style="1"/>
    <col min="8860" max="8872" width="9" style="1"/>
    <col min="8873" max="8873" width="9.625" style="1"/>
    <col min="8874" max="8874" width="9" style="1"/>
    <col min="8875" max="8875" width="9.625" style="1"/>
    <col min="8876" max="8888" width="9" style="1"/>
    <col min="8889" max="8889" width="9.625" style="1"/>
    <col min="8890" max="8890" width="9" style="1"/>
    <col min="8891" max="8891" width="9.625" style="1"/>
    <col min="8892" max="8904" width="9" style="1"/>
    <col min="8905" max="8905" width="9.625" style="1"/>
    <col min="8906" max="8906" width="9" style="1"/>
    <col min="8907" max="8907" width="9.625" style="1"/>
    <col min="8908" max="8920" width="9" style="1"/>
    <col min="8921" max="8921" width="9.625" style="1"/>
    <col min="8922" max="8922" width="9" style="1"/>
    <col min="8923" max="8923" width="9.625" style="1"/>
    <col min="8924" max="8936" width="9" style="1"/>
    <col min="8937" max="8937" width="9.625" style="1"/>
    <col min="8938" max="8938" width="9" style="1"/>
    <col min="8939" max="8939" width="9.625" style="1"/>
    <col min="8940" max="8952" width="9" style="1"/>
    <col min="8953" max="8953" width="9.625" style="1"/>
    <col min="8954" max="8954" width="9" style="1"/>
    <col min="8955" max="8955" width="9.625" style="1"/>
    <col min="8956" max="8968" width="9" style="1"/>
    <col min="8969" max="8969" width="9.625" style="1"/>
    <col min="8970" max="8970" width="9" style="1"/>
    <col min="8971" max="8971" width="9.625" style="1"/>
    <col min="8972" max="8984" width="9" style="1"/>
    <col min="8985" max="8985" width="9.625" style="1"/>
    <col min="8986" max="8986" width="9" style="1"/>
    <col min="8987" max="8987" width="9.625" style="1"/>
    <col min="8988" max="9000" width="9" style="1"/>
    <col min="9001" max="9001" width="9.625" style="1"/>
    <col min="9002" max="9002" width="9" style="1"/>
    <col min="9003" max="9003" width="9.625" style="1"/>
    <col min="9004" max="9016" width="9" style="1"/>
    <col min="9017" max="9017" width="9.625" style="1"/>
    <col min="9018" max="9018" width="9" style="1"/>
    <col min="9019" max="9019" width="9.625" style="1"/>
    <col min="9020" max="9032" width="9" style="1"/>
    <col min="9033" max="9033" width="9.625" style="1"/>
    <col min="9034" max="9034" width="9" style="1"/>
    <col min="9035" max="9035" width="9.625" style="1"/>
    <col min="9036" max="9048" width="9" style="1"/>
    <col min="9049" max="9049" width="9.625" style="1"/>
    <col min="9050" max="9050" width="9" style="1"/>
    <col min="9051" max="9051" width="9.625" style="1"/>
    <col min="9052" max="9064" width="9" style="1"/>
    <col min="9065" max="9065" width="9.625" style="1"/>
    <col min="9066" max="9066" width="9" style="1"/>
    <col min="9067" max="9067" width="9.625" style="1"/>
    <col min="9068" max="9080" width="9" style="1"/>
    <col min="9081" max="9081" width="9.625" style="1"/>
    <col min="9082" max="9082" width="9" style="1"/>
    <col min="9083" max="9083" width="9.625" style="1"/>
    <col min="9084" max="9096" width="9" style="1"/>
    <col min="9097" max="9097" width="9.625" style="1"/>
    <col min="9098" max="9098" width="9" style="1"/>
    <col min="9099" max="9099" width="9.625" style="1"/>
    <col min="9100" max="9112" width="9" style="1"/>
    <col min="9113" max="9113" width="9.625" style="1"/>
    <col min="9114" max="9114" width="9" style="1"/>
    <col min="9115" max="9115" width="9.625" style="1"/>
    <col min="9116" max="9128" width="9" style="1"/>
    <col min="9129" max="9129" width="9.625" style="1"/>
    <col min="9130" max="9130" width="9" style="1"/>
    <col min="9131" max="9131" width="9.625" style="1"/>
    <col min="9132" max="9144" width="9" style="1"/>
    <col min="9145" max="9145" width="9.625" style="1"/>
    <col min="9146" max="9146" width="9" style="1"/>
    <col min="9147" max="9147" width="9.625" style="1"/>
    <col min="9148" max="9160" width="9" style="1"/>
    <col min="9161" max="9161" width="9.625" style="1"/>
    <col min="9162" max="9162" width="9" style="1"/>
    <col min="9163" max="9163" width="9.625" style="1"/>
    <col min="9164" max="9176" width="9" style="1"/>
    <col min="9177" max="9177" width="9.625" style="1"/>
    <col min="9178" max="9178" width="9" style="1"/>
    <col min="9179" max="9179" width="9.625" style="1"/>
    <col min="9180" max="9192" width="9" style="1"/>
    <col min="9193" max="9193" width="9.625" style="1"/>
    <col min="9194" max="9194" width="9" style="1"/>
    <col min="9195" max="9195" width="9.625" style="1"/>
    <col min="9196" max="9208" width="9" style="1"/>
    <col min="9209" max="9209" width="9.625" style="1"/>
    <col min="9210" max="9210" width="9" style="1"/>
    <col min="9211" max="9211" width="9.625" style="1"/>
    <col min="9212" max="9224" width="9" style="1"/>
    <col min="9225" max="9225" width="9.625" style="1"/>
    <col min="9226" max="9226" width="9" style="1"/>
    <col min="9227" max="9227" width="9.625" style="1"/>
    <col min="9228" max="9240" width="9" style="1"/>
    <col min="9241" max="9241" width="9.625" style="1"/>
    <col min="9242" max="9242" width="9" style="1"/>
    <col min="9243" max="9243" width="9.625" style="1"/>
    <col min="9244" max="9256" width="9" style="1"/>
    <col min="9257" max="9257" width="9.625" style="1"/>
    <col min="9258" max="9258" width="9" style="1"/>
    <col min="9259" max="9259" width="9.625" style="1"/>
    <col min="9260" max="9272" width="9" style="1"/>
    <col min="9273" max="9273" width="9.625" style="1"/>
    <col min="9274" max="9274" width="9" style="1"/>
    <col min="9275" max="9275" width="9.625" style="1"/>
    <col min="9276" max="9288" width="9" style="1"/>
    <col min="9289" max="9289" width="9.625" style="1"/>
    <col min="9290" max="9290" width="9" style="1"/>
    <col min="9291" max="9291" width="9.625" style="1"/>
    <col min="9292" max="9304" width="9" style="1"/>
    <col min="9305" max="9305" width="9.625" style="1"/>
    <col min="9306" max="9306" width="9" style="1"/>
    <col min="9307" max="9307" width="9.625" style="1"/>
    <col min="9308" max="9320" width="9" style="1"/>
    <col min="9321" max="9321" width="9.625" style="1"/>
    <col min="9322" max="9322" width="9" style="1"/>
    <col min="9323" max="9323" width="9.625" style="1"/>
    <col min="9324" max="9336" width="9" style="1"/>
    <col min="9337" max="9337" width="9.625" style="1"/>
    <col min="9338" max="9338" width="9" style="1"/>
    <col min="9339" max="9339" width="9.625" style="1"/>
    <col min="9340" max="9352" width="9" style="1"/>
    <col min="9353" max="9353" width="9.625" style="1"/>
    <col min="9354" max="9354" width="9" style="1"/>
    <col min="9355" max="9355" width="9.625" style="1"/>
    <col min="9356" max="9368" width="9" style="1"/>
    <col min="9369" max="9369" width="9.625" style="1"/>
    <col min="9370" max="9370" width="9" style="1"/>
    <col min="9371" max="9371" width="9.625" style="1"/>
    <col min="9372" max="9384" width="9" style="1"/>
    <col min="9385" max="9385" width="9.625" style="1"/>
    <col min="9386" max="9386" width="9" style="1"/>
    <col min="9387" max="9387" width="9.625" style="1"/>
    <col min="9388" max="9400" width="9" style="1"/>
    <col min="9401" max="9401" width="9.625" style="1"/>
    <col min="9402" max="9402" width="9" style="1"/>
    <col min="9403" max="9403" width="9.625" style="1"/>
    <col min="9404" max="9416" width="9" style="1"/>
    <col min="9417" max="9417" width="9.625" style="1"/>
    <col min="9418" max="9418" width="9" style="1"/>
    <col min="9419" max="9419" width="9.625" style="1"/>
    <col min="9420" max="9432" width="9" style="1"/>
    <col min="9433" max="9433" width="9.625" style="1"/>
    <col min="9434" max="9434" width="9" style="1"/>
    <col min="9435" max="9435" width="9.625" style="1"/>
    <col min="9436" max="9448" width="9" style="1"/>
    <col min="9449" max="9449" width="9.625" style="1"/>
    <col min="9450" max="9450" width="9" style="1"/>
    <col min="9451" max="9451" width="9.625" style="1"/>
    <col min="9452" max="9464" width="9" style="1"/>
    <col min="9465" max="9465" width="9.625" style="1"/>
    <col min="9466" max="9466" width="9" style="1"/>
    <col min="9467" max="9467" width="9.625" style="1"/>
    <col min="9468" max="9480" width="9" style="1"/>
    <col min="9481" max="9481" width="9.625" style="1"/>
    <col min="9482" max="9482" width="9" style="1"/>
    <col min="9483" max="9483" width="9.625" style="1"/>
    <col min="9484" max="9496" width="9" style="1"/>
    <col min="9497" max="9497" width="9.625" style="1"/>
    <col min="9498" max="9498" width="9" style="1"/>
    <col min="9499" max="9499" width="9.625" style="1"/>
    <col min="9500" max="9512" width="9" style="1"/>
    <col min="9513" max="9513" width="9.625" style="1"/>
    <col min="9514" max="9514" width="9" style="1"/>
    <col min="9515" max="9515" width="9.625" style="1"/>
    <col min="9516" max="9528" width="9" style="1"/>
    <col min="9529" max="9529" width="9.625" style="1"/>
    <col min="9530" max="9530" width="9" style="1"/>
    <col min="9531" max="9531" width="9.625" style="1"/>
    <col min="9532" max="9544" width="9" style="1"/>
    <col min="9545" max="9545" width="9.625" style="1"/>
    <col min="9546" max="9546" width="9" style="1"/>
    <col min="9547" max="9547" width="9.625" style="1"/>
    <col min="9548" max="9560" width="9" style="1"/>
    <col min="9561" max="9561" width="9.625" style="1"/>
    <col min="9562" max="9562" width="9" style="1"/>
    <col min="9563" max="9563" width="9.625" style="1"/>
    <col min="9564" max="9576" width="9" style="1"/>
    <col min="9577" max="9577" width="9.625" style="1"/>
    <col min="9578" max="9578" width="9" style="1"/>
    <col min="9579" max="9579" width="9.625" style="1"/>
    <col min="9580" max="9592" width="9" style="1"/>
    <col min="9593" max="9593" width="9.625" style="1"/>
    <col min="9594" max="9594" width="9" style="1"/>
    <col min="9595" max="9595" width="9.625" style="1"/>
    <col min="9596" max="9608" width="9" style="1"/>
    <col min="9609" max="9609" width="9.625" style="1"/>
    <col min="9610" max="9610" width="9" style="1"/>
    <col min="9611" max="9611" width="9.625" style="1"/>
    <col min="9612" max="9624" width="9" style="1"/>
    <col min="9625" max="9625" width="9.625" style="1"/>
    <col min="9626" max="9626" width="9" style="1"/>
    <col min="9627" max="9627" width="9.625" style="1"/>
    <col min="9628" max="9640" width="9" style="1"/>
    <col min="9641" max="9641" width="9.625" style="1"/>
    <col min="9642" max="9642" width="9" style="1"/>
    <col min="9643" max="9643" width="9.625" style="1"/>
    <col min="9644" max="9656" width="9" style="1"/>
    <col min="9657" max="9657" width="9.625" style="1"/>
    <col min="9658" max="9658" width="9" style="1"/>
    <col min="9659" max="9659" width="9.625" style="1"/>
    <col min="9660" max="9672" width="9" style="1"/>
    <col min="9673" max="9673" width="9.625" style="1"/>
    <col min="9674" max="9674" width="9" style="1"/>
    <col min="9675" max="9675" width="9.625" style="1"/>
    <col min="9676" max="9688" width="9" style="1"/>
    <col min="9689" max="9689" width="9.625" style="1"/>
    <col min="9690" max="9690" width="9" style="1"/>
    <col min="9691" max="9691" width="9.625" style="1"/>
    <col min="9692" max="9704" width="9" style="1"/>
    <col min="9705" max="9705" width="9.625" style="1"/>
    <col min="9706" max="9706" width="9" style="1"/>
    <col min="9707" max="9707" width="9.625" style="1"/>
    <col min="9708" max="9720" width="9" style="1"/>
    <col min="9721" max="9721" width="9.625" style="1"/>
    <col min="9722" max="9722" width="9" style="1"/>
    <col min="9723" max="9723" width="9.625" style="1"/>
    <col min="9724" max="9736" width="9" style="1"/>
    <col min="9737" max="9737" width="9.625" style="1"/>
    <col min="9738" max="9738" width="9" style="1"/>
    <col min="9739" max="9739" width="9.625" style="1"/>
    <col min="9740" max="9752" width="9" style="1"/>
    <col min="9753" max="9753" width="9.625" style="1"/>
    <col min="9754" max="9754" width="9" style="1"/>
    <col min="9755" max="9755" width="9.625" style="1"/>
    <col min="9756" max="9768" width="9" style="1"/>
    <col min="9769" max="9769" width="9.625" style="1"/>
    <col min="9770" max="9770" width="9" style="1"/>
    <col min="9771" max="9771" width="9.625" style="1"/>
    <col min="9772" max="9784" width="9" style="1"/>
    <col min="9785" max="9785" width="9.625" style="1"/>
    <col min="9786" max="9786" width="9" style="1"/>
    <col min="9787" max="9787" width="9.625" style="1"/>
    <col min="9788" max="9800" width="9" style="1"/>
    <col min="9801" max="9801" width="9.625" style="1"/>
    <col min="9802" max="9802" width="9" style="1"/>
    <col min="9803" max="9803" width="9.625" style="1"/>
    <col min="9804" max="9816" width="9" style="1"/>
    <col min="9817" max="9817" width="9.625" style="1"/>
    <col min="9818" max="9818" width="9" style="1"/>
    <col min="9819" max="9819" width="9.625" style="1"/>
    <col min="9820" max="9832" width="9" style="1"/>
    <col min="9833" max="9833" width="9.625" style="1"/>
    <col min="9834" max="9834" width="9" style="1"/>
    <col min="9835" max="9835" width="9.625" style="1"/>
    <col min="9836" max="9848" width="9" style="1"/>
    <col min="9849" max="9849" width="9.625" style="1"/>
    <col min="9850" max="9850" width="9" style="1"/>
    <col min="9851" max="9851" width="9.625" style="1"/>
    <col min="9852" max="9864" width="9" style="1"/>
    <col min="9865" max="9865" width="9.625" style="1"/>
    <col min="9866" max="9866" width="9" style="1"/>
    <col min="9867" max="9867" width="9.625" style="1"/>
    <col min="9868" max="9880" width="9" style="1"/>
    <col min="9881" max="9881" width="9.625" style="1"/>
    <col min="9882" max="9882" width="9" style="1"/>
    <col min="9883" max="9883" width="9.625" style="1"/>
    <col min="9884" max="9896" width="9" style="1"/>
    <col min="9897" max="9897" width="9.625" style="1"/>
    <col min="9898" max="9898" width="9" style="1"/>
    <col min="9899" max="9899" width="9.625" style="1"/>
    <col min="9900" max="9912" width="9" style="1"/>
    <col min="9913" max="9913" width="9.625" style="1"/>
    <col min="9914" max="9914" width="9" style="1"/>
    <col min="9915" max="9915" width="9.625" style="1"/>
    <col min="9916" max="9928" width="9" style="1"/>
    <col min="9929" max="9929" width="9.625" style="1"/>
    <col min="9930" max="9930" width="9" style="1"/>
    <col min="9931" max="9931" width="9.625" style="1"/>
    <col min="9932" max="9944" width="9" style="1"/>
    <col min="9945" max="9945" width="9.625" style="1"/>
    <col min="9946" max="9946" width="9" style="1"/>
    <col min="9947" max="9947" width="9.625" style="1"/>
    <col min="9948" max="9960" width="9" style="1"/>
    <col min="9961" max="9961" width="9.625" style="1"/>
    <col min="9962" max="9962" width="9" style="1"/>
    <col min="9963" max="9963" width="9.625" style="1"/>
    <col min="9964" max="9976" width="9" style="1"/>
    <col min="9977" max="9977" width="9.625" style="1"/>
    <col min="9978" max="9978" width="9" style="1"/>
    <col min="9979" max="9979" width="9.625" style="1"/>
    <col min="9980" max="9992" width="9" style="1"/>
    <col min="9993" max="9993" width="9.625" style="1"/>
    <col min="9994" max="9994" width="9" style="1"/>
    <col min="9995" max="9995" width="9.625" style="1"/>
    <col min="9996" max="10008" width="9" style="1"/>
    <col min="10009" max="10009" width="9.625" style="1"/>
    <col min="10010" max="10010" width="9" style="1"/>
    <col min="10011" max="10011" width="9.625" style="1"/>
    <col min="10012" max="10024" width="9" style="1"/>
    <col min="10025" max="10025" width="9.625" style="1"/>
    <col min="10026" max="10026" width="9" style="1"/>
    <col min="10027" max="10027" width="9.625" style="1"/>
    <col min="10028" max="10040" width="9" style="1"/>
    <col min="10041" max="10041" width="9.625" style="1"/>
    <col min="10042" max="10042" width="9" style="1"/>
    <col min="10043" max="10043" width="9.625" style="1"/>
    <col min="10044" max="10056" width="9" style="1"/>
    <col min="10057" max="10057" width="9.625" style="1"/>
    <col min="10058" max="10058" width="9" style="1"/>
    <col min="10059" max="10059" width="9.625" style="1"/>
    <col min="10060" max="10072" width="9" style="1"/>
    <col min="10073" max="10073" width="9.625" style="1"/>
    <col min="10074" max="10074" width="9" style="1"/>
    <col min="10075" max="10075" width="9.625" style="1"/>
    <col min="10076" max="10088" width="9" style="1"/>
    <col min="10089" max="10089" width="9.625" style="1"/>
    <col min="10090" max="10090" width="9" style="1"/>
    <col min="10091" max="10091" width="9.625" style="1"/>
    <col min="10092" max="10104" width="9" style="1"/>
    <col min="10105" max="10105" width="9.625" style="1"/>
    <col min="10106" max="10106" width="9" style="1"/>
    <col min="10107" max="10107" width="9.625" style="1"/>
    <col min="10108" max="10120" width="9" style="1"/>
    <col min="10121" max="10121" width="9.625" style="1"/>
    <col min="10122" max="10122" width="9" style="1"/>
    <col min="10123" max="10123" width="9.625" style="1"/>
    <col min="10124" max="10136" width="9" style="1"/>
    <col min="10137" max="10137" width="9.625" style="1"/>
    <col min="10138" max="10138" width="9" style="1"/>
    <col min="10139" max="10139" width="9.625" style="1"/>
    <col min="10140" max="10152" width="9" style="1"/>
    <col min="10153" max="10153" width="9.625" style="1"/>
    <col min="10154" max="10154" width="9" style="1"/>
    <col min="10155" max="10155" width="9.625" style="1"/>
    <col min="10156" max="10168" width="9" style="1"/>
    <col min="10169" max="10169" width="9.625" style="1"/>
    <col min="10170" max="10170" width="9" style="1"/>
    <col min="10171" max="10171" width="9.625" style="1"/>
    <col min="10172" max="10184" width="9" style="1"/>
    <col min="10185" max="10185" width="9.625" style="1"/>
    <col min="10186" max="10186" width="9" style="1"/>
    <col min="10187" max="10187" width="9.625" style="1"/>
    <col min="10188" max="10200" width="9" style="1"/>
    <col min="10201" max="10201" width="9.625" style="1"/>
    <col min="10202" max="10202" width="9" style="1"/>
    <col min="10203" max="10203" width="9.625" style="1"/>
    <col min="10204" max="10216" width="9" style="1"/>
    <col min="10217" max="10217" width="9.625" style="1"/>
    <col min="10218" max="10218" width="9" style="1"/>
    <col min="10219" max="10219" width="9.625" style="1"/>
    <col min="10220" max="10232" width="9" style="1"/>
    <col min="10233" max="10233" width="9.625" style="1"/>
    <col min="10234" max="10234" width="9" style="1"/>
    <col min="10235" max="10235" width="9.625" style="1"/>
    <col min="10236" max="10248" width="9" style="1"/>
    <col min="10249" max="10249" width="9.625" style="1"/>
    <col min="10250" max="10250" width="9" style="1"/>
    <col min="10251" max="10251" width="9.625" style="1"/>
    <col min="10252" max="10264" width="9" style="1"/>
    <col min="10265" max="10265" width="9.625" style="1"/>
    <col min="10266" max="10266" width="9" style="1"/>
    <col min="10267" max="10267" width="9.625" style="1"/>
    <col min="10268" max="10280" width="9" style="1"/>
    <col min="10281" max="10281" width="9.625" style="1"/>
    <col min="10282" max="10282" width="9" style="1"/>
    <col min="10283" max="10283" width="9.625" style="1"/>
    <col min="10284" max="10296" width="9" style="1"/>
    <col min="10297" max="10297" width="9.625" style="1"/>
    <col min="10298" max="10298" width="9" style="1"/>
    <col min="10299" max="10299" width="9.625" style="1"/>
    <col min="10300" max="10312" width="9" style="1"/>
    <col min="10313" max="10313" width="9.625" style="1"/>
    <col min="10314" max="10314" width="9" style="1"/>
    <col min="10315" max="10315" width="9.625" style="1"/>
    <col min="10316" max="10328" width="9" style="1"/>
    <col min="10329" max="10329" width="9.625" style="1"/>
    <col min="10330" max="10330" width="9" style="1"/>
    <col min="10331" max="10331" width="9.625" style="1"/>
    <col min="10332" max="10344" width="9" style="1"/>
    <col min="10345" max="10345" width="9.625" style="1"/>
    <col min="10346" max="10346" width="9" style="1"/>
    <col min="10347" max="10347" width="9.625" style="1"/>
    <col min="10348" max="10360" width="9" style="1"/>
    <col min="10361" max="10361" width="9.625" style="1"/>
    <col min="10362" max="10362" width="9" style="1"/>
    <col min="10363" max="10363" width="9.625" style="1"/>
    <col min="10364" max="10376" width="9" style="1"/>
    <col min="10377" max="10377" width="9.625" style="1"/>
    <col min="10378" max="10378" width="9" style="1"/>
    <col min="10379" max="10379" width="9.625" style="1"/>
    <col min="10380" max="10392" width="9" style="1"/>
    <col min="10393" max="10393" width="9.625" style="1"/>
    <col min="10394" max="10394" width="9" style="1"/>
    <col min="10395" max="10395" width="9.625" style="1"/>
    <col min="10396" max="10408" width="9" style="1"/>
    <col min="10409" max="10409" width="9.625" style="1"/>
    <col min="10410" max="10410" width="9" style="1"/>
    <col min="10411" max="10411" width="9.625" style="1"/>
    <col min="10412" max="10424" width="9" style="1"/>
    <col min="10425" max="10425" width="9.625" style="1"/>
    <col min="10426" max="10426" width="9" style="1"/>
    <col min="10427" max="10427" width="9.625" style="1"/>
    <col min="10428" max="10440" width="9" style="1"/>
    <col min="10441" max="10441" width="9.625" style="1"/>
    <col min="10442" max="10442" width="9" style="1"/>
    <col min="10443" max="10443" width="9.625" style="1"/>
    <col min="10444" max="10456" width="9" style="1"/>
    <col min="10457" max="10457" width="9.625" style="1"/>
    <col min="10458" max="10458" width="9" style="1"/>
    <col min="10459" max="10459" width="9.625" style="1"/>
    <col min="10460" max="10472" width="9" style="1"/>
    <col min="10473" max="10473" width="9.625" style="1"/>
    <col min="10474" max="10474" width="9" style="1"/>
    <col min="10475" max="10475" width="9.625" style="1"/>
    <col min="10476" max="10488" width="9" style="1"/>
    <col min="10489" max="10489" width="9.625" style="1"/>
    <col min="10490" max="10490" width="9" style="1"/>
    <col min="10491" max="10491" width="9.625" style="1"/>
    <col min="10492" max="10504" width="9" style="1"/>
    <col min="10505" max="10505" width="9.625" style="1"/>
    <col min="10506" max="10506" width="9" style="1"/>
    <col min="10507" max="10507" width="9.625" style="1"/>
    <col min="10508" max="10520" width="9" style="1"/>
    <col min="10521" max="10521" width="9.625" style="1"/>
    <col min="10522" max="10522" width="9" style="1"/>
    <col min="10523" max="10523" width="9.625" style="1"/>
    <col min="10524" max="10536" width="9" style="1"/>
    <col min="10537" max="10537" width="9.625" style="1"/>
    <col min="10538" max="10538" width="9" style="1"/>
    <col min="10539" max="10539" width="9.625" style="1"/>
    <col min="10540" max="10552" width="9" style="1"/>
    <col min="10553" max="10553" width="9.625" style="1"/>
    <col min="10554" max="10554" width="9" style="1"/>
    <col min="10555" max="10555" width="9.625" style="1"/>
    <col min="10556" max="10568" width="9" style="1"/>
    <col min="10569" max="10569" width="9.625" style="1"/>
    <col min="10570" max="10570" width="9" style="1"/>
    <col min="10571" max="10571" width="9.625" style="1"/>
    <col min="10572" max="10584" width="9" style="1"/>
    <col min="10585" max="10585" width="9.625" style="1"/>
    <col min="10586" max="10586" width="9" style="1"/>
    <col min="10587" max="10587" width="9.625" style="1"/>
    <col min="10588" max="10600" width="9" style="1"/>
    <col min="10601" max="10601" width="9.625" style="1"/>
    <col min="10602" max="10602" width="9" style="1"/>
    <col min="10603" max="10603" width="9.625" style="1"/>
    <col min="10604" max="10616" width="9" style="1"/>
    <col min="10617" max="10617" width="9.625" style="1"/>
    <col min="10618" max="10618" width="9" style="1"/>
    <col min="10619" max="10619" width="9.625" style="1"/>
    <col min="10620" max="10632" width="9" style="1"/>
    <col min="10633" max="10633" width="9.625" style="1"/>
    <col min="10634" max="10634" width="9" style="1"/>
    <col min="10635" max="10635" width="9.625" style="1"/>
    <col min="10636" max="10648" width="9" style="1"/>
    <col min="10649" max="10649" width="9.625" style="1"/>
    <col min="10650" max="10650" width="9" style="1"/>
    <col min="10651" max="10651" width="9.625" style="1"/>
    <col min="10652" max="10664" width="9" style="1"/>
    <col min="10665" max="10665" width="9.625" style="1"/>
    <col min="10666" max="10666" width="9" style="1"/>
    <col min="10667" max="10667" width="9.625" style="1"/>
    <col min="10668" max="10680" width="9" style="1"/>
    <col min="10681" max="10681" width="9.625" style="1"/>
    <col min="10682" max="10682" width="9" style="1"/>
    <col min="10683" max="10683" width="9.625" style="1"/>
    <col min="10684" max="10696" width="9" style="1"/>
    <col min="10697" max="10697" width="9.625" style="1"/>
    <col min="10698" max="10698" width="9" style="1"/>
    <col min="10699" max="10699" width="9.625" style="1"/>
    <col min="10700" max="10712" width="9" style="1"/>
    <col min="10713" max="10713" width="9.625" style="1"/>
    <col min="10714" max="10714" width="9" style="1"/>
    <col min="10715" max="10715" width="9.625" style="1"/>
    <col min="10716" max="10728" width="9" style="1"/>
    <col min="10729" max="10729" width="9.625" style="1"/>
    <col min="10730" max="10730" width="9" style="1"/>
    <col min="10731" max="10731" width="9.625" style="1"/>
    <col min="10732" max="10744" width="9" style="1"/>
    <col min="10745" max="10745" width="9.625" style="1"/>
    <col min="10746" max="10746" width="9" style="1"/>
    <col min="10747" max="10747" width="9.625" style="1"/>
    <col min="10748" max="10760" width="9" style="1"/>
    <col min="10761" max="10761" width="9.625" style="1"/>
    <col min="10762" max="10762" width="9" style="1"/>
    <col min="10763" max="10763" width="9.625" style="1"/>
    <col min="10764" max="10776" width="9" style="1"/>
    <col min="10777" max="10777" width="9.625" style="1"/>
    <col min="10778" max="10778" width="9" style="1"/>
    <col min="10779" max="10779" width="9.625" style="1"/>
    <col min="10780" max="10792" width="9" style="1"/>
    <col min="10793" max="10793" width="9.625" style="1"/>
    <col min="10794" max="10794" width="9" style="1"/>
    <col min="10795" max="10795" width="9.625" style="1"/>
    <col min="10796" max="10808" width="9" style="1"/>
    <col min="10809" max="10809" width="9.625" style="1"/>
    <col min="10810" max="10810" width="9" style="1"/>
    <col min="10811" max="10811" width="9.625" style="1"/>
    <col min="10812" max="10824" width="9" style="1"/>
    <col min="10825" max="10825" width="9.625" style="1"/>
    <col min="10826" max="10826" width="9" style="1"/>
    <col min="10827" max="10827" width="9.625" style="1"/>
    <col min="10828" max="10840" width="9" style="1"/>
    <col min="10841" max="10841" width="9.625" style="1"/>
    <col min="10842" max="10842" width="9" style="1"/>
    <col min="10843" max="10843" width="9.625" style="1"/>
    <col min="10844" max="10856" width="9" style="1"/>
    <col min="10857" max="10857" width="9.625" style="1"/>
    <col min="10858" max="10858" width="9" style="1"/>
    <col min="10859" max="10859" width="9.625" style="1"/>
    <col min="10860" max="10872" width="9" style="1"/>
    <col min="10873" max="10873" width="9.625" style="1"/>
    <col min="10874" max="10874" width="9" style="1"/>
    <col min="10875" max="10875" width="9.625" style="1"/>
    <col min="10876" max="10888" width="9" style="1"/>
    <col min="10889" max="10889" width="9.625" style="1"/>
    <col min="10890" max="10890" width="9" style="1"/>
    <col min="10891" max="10891" width="9.625" style="1"/>
    <col min="10892" max="10904" width="9" style="1"/>
    <col min="10905" max="10905" width="9.625" style="1"/>
    <col min="10906" max="10906" width="9" style="1"/>
    <col min="10907" max="10907" width="9.625" style="1"/>
    <col min="10908" max="10920" width="9" style="1"/>
    <col min="10921" max="10921" width="9.625" style="1"/>
    <col min="10922" max="10922" width="9" style="1"/>
    <col min="10923" max="10923" width="9.625" style="1"/>
    <col min="10924" max="10936" width="9" style="1"/>
    <col min="10937" max="10937" width="9.625" style="1"/>
    <col min="10938" max="10938" width="9" style="1"/>
    <col min="10939" max="10939" width="9.625" style="1"/>
    <col min="10940" max="10952" width="9" style="1"/>
    <col min="10953" max="10953" width="9.625" style="1"/>
    <col min="10954" max="10954" width="9" style="1"/>
    <col min="10955" max="10955" width="9.625" style="1"/>
    <col min="10956" max="10968" width="9" style="1"/>
    <col min="10969" max="10969" width="9.625" style="1"/>
    <col min="10970" max="10970" width="9" style="1"/>
    <col min="10971" max="10971" width="9.625" style="1"/>
    <col min="10972" max="10984" width="9" style="1"/>
    <col min="10985" max="10985" width="9.625" style="1"/>
    <col min="10986" max="10986" width="9" style="1"/>
    <col min="10987" max="10987" width="9.625" style="1"/>
    <col min="10988" max="11000" width="9" style="1"/>
    <col min="11001" max="11001" width="9.625" style="1"/>
    <col min="11002" max="11002" width="9" style="1"/>
    <col min="11003" max="11003" width="9.625" style="1"/>
    <col min="11004" max="11016" width="9" style="1"/>
    <col min="11017" max="11017" width="9.625" style="1"/>
    <col min="11018" max="11018" width="9" style="1"/>
    <col min="11019" max="11019" width="9.625" style="1"/>
    <col min="11020" max="11032" width="9" style="1"/>
    <col min="11033" max="11033" width="9.625" style="1"/>
    <col min="11034" max="11034" width="9" style="1"/>
    <col min="11035" max="11035" width="9.625" style="1"/>
    <col min="11036" max="11048" width="9" style="1"/>
    <col min="11049" max="11049" width="9.625" style="1"/>
    <col min="11050" max="11050" width="9" style="1"/>
    <col min="11051" max="11051" width="9.625" style="1"/>
    <col min="11052" max="11064" width="9" style="1"/>
    <col min="11065" max="11065" width="9.625" style="1"/>
    <col min="11066" max="11066" width="9" style="1"/>
    <col min="11067" max="11067" width="9.625" style="1"/>
    <col min="11068" max="11080" width="9" style="1"/>
    <col min="11081" max="11081" width="9.625" style="1"/>
    <col min="11082" max="11082" width="9" style="1"/>
    <col min="11083" max="11083" width="9.625" style="1"/>
    <col min="11084" max="11096" width="9" style="1"/>
    <col min="11097" max="11097" width="9.625" style="1"/>
    <col min="11098" max="11098" width="9" style="1"/>
    <col min="11099" max="11099" width="9.625" style="1"/>
    <col min="11100" max="11112" width="9" style="1"/>
    <col min="11113" max="11113" width="9.625" style="1"/>
    <col min="11114" max="11114" width="9" style="1"/>
    <col min="11115" max="11115" width="9.625" style="1"/>
    <col min="11116" max="11128" width="9" style="1"/>
    <col min="11129" max="11129" width="9.625" style="1"/>
    <col min="11130" max="11130" width="9" style="1"/>
    <col min="11131" max="11131" width="9.625" style="1"/>
    <col min="11132" max="11144" width="9" style="1"/>
    <col min="11145" max="11145" width="9.625" style="1"/>
    <col min="11146" max="11146" width="9" style="1"/>
    <col min="11147" max="11147" width="9.625" style="1"/>
    <col min="11148" max="11160" width="9" style="1"/>
    <col min="11161" max="11161" width="9.625" style="1"/>
    <col min="11162" max="11162" width="9" style="1"/>
    <col min="11163" max="11163" width="9.625" style="1"/>
    <col min="11164" max="11176" width="9" style="1"/>
    <col min="11177" max="11177" width="9.625" style="1"/>
    <col min="11178" max="11178" width="9" style="1"/>
    <col min="11179" max="11179" width="9.625" style="1"/>
    <col min="11180" max="11192" width="9" style="1"/>
    <col min="11193" max="11193" width="9.625" style="1"/>
    <col min="11194" max="11194" width="9" style="1"/>
    <col min="11195" max="11195" width="9.625" style="1"/>
    <col min="11196" max="11208" width="9" style="1"/>
    <col min="11209" max="11209" width="9.625" style="1"/>
    <col min="11210" max="11210" width="9" style="1"/>
    <col min="11211" max="11211" width="9.625" style="1"/>
    <col min="11212" max="11224" width="9" style="1"/>
    <col min="11225" max="11225" width="9.625" style="1"/>
    <col min="11226" max="11226" width="9" style="1"/>
    <col min="11227" max="11227" width="9.625" style="1"/>
    <col min="11228" max="11240" width="9" style="1"/>
    <col min="11241" max="11241" width="9.625" style="1"/>
    <col min="11242" max="11242" width="9" style="1"/>
    <col min="11243" max="11243" width="9.625" style="1"/>
    <col min="11244" max="11256" width="9" style="1"/>
    <col min="11257" max="11257" width="9.625" style="1"/>
    <col min="11258" max="11258" width="9" style="1"/>
    <col min="11259" max="11259" width="9.625" style="1"/>
    <col min="11260" max="11272" width="9" style="1"/>
    <col min="11273" max="11273" width="9.625" style="1"/>
    <col min="11274" max="11274" width="9" style="1"/>
    <col min="11275" max="11275" width="9.625" style="1"/>
    <col min="11276" max="11288" width="9" style="1"/>
    <col min="11289" max="11289" width="9.625" style="1"/>
    <col min="11290" max="11290" width="9" style="1"/>
    <col min="11291" max="11291" width="9.625" style="1"/>
    <col min="11292" max="11304" width="9" style="1"/>
    <col min="11305" max="11305" width="9.625" style="1"/>
    <col min="11306" max="11306" width="9" style="1"/>
    <col min="11307" max="11307" width="9.625" style="1"/>
    <col min="11308" max="11320" width="9" style="1"/>
    <col min="11321" max="11321" width="9.625" style="1"/>
    <col min="11322" max="11322" width="9" style="1"/>
    <col min="11323" max="11323" width="9.625" style="1"/>
    <col min="11324" max="11336" width="9" style="1"/>
    <col min="11337" max="11337" width="9.625" style="1"/>
    <col min="11338" max="11338" width="9" style="1"/>
    <col min="11339" max="11339" width="9.625" style="1"/>
    <col min="11340" max="11352" width="9" style="1"/>
    <col min="11353" max="11353" width="9.625" style="1"/>
    <col min="11354" max="11354" width="9" style="1"/>
    <col min="11355" max="11355" width="9.625" style="1"/>
    <col min="11356" max="11368" width="9" style="1"/>
    <col min="11369" max="11369" width="9.625" style="1"/>
    <col min="11370" max="11370" width="9" style="1"/>
    <col min="11371" max="11371" width="9.625" style="1"/>
    <col min="11372" max="11384" width="9" style="1"/>
    <col min="11385" max="11385" width="9.625" style="1"/>
    <col min="11386" max="11386" width="9" style="1"/>
    <col min="11387" max="11387" width="9.625" style="1"/>
    <col min="11388" max="11400" width="9" style="1"/>
    <col min="11401" max="11401" width="9.625" style="1"/>
    <col min="11402" max="11402" width="9" style="1"/>
    <col min="11403" max="11403" width="9.625" style="1"/>
    <col min="11404" max="11416" width="9" style="1"/>
    <col min="11417" max="11417" width="9.625" style="1"/>
    <col min="11418" max="11418" width="9" style="1"/>
    <col min="11419" max="11419" width="9.625" style="1"/>
    <col min="11420" max="11432" width="9" style="1"/>
    <col min="11433" max="11433" width="9.625" style="1"/>
    <col min="11434" max="11434" width="9" style="1"/>
    <col min="11435" max="11435" width="9.625" style="1"/>
    <col min="11436" max="11448" width="9" style="1"/>
    <col min="11449" max="11449" width="9.625" style="1"/>
    <col min="11450" max="11450" width="9" style="1"/>
    <col min="11451" max="11451" width="9.625" style="1"/>
    <col min="11452" max="11464" width="9" style="1"/>
    <col min="11465" max="11465" width="9.625" style="1"/>
    <col min="11466" max="11466" width="9" style="1"/>
    <col min="11467" max="11467" width="9.625" style="1"/>
    <col min="11468" max="11480" width="9" style="1"/>
    <col min="11481" max="11481" width="9.625" style="1"/>
    <col min="11482" max="11482" width="9" style="1"/>
    <col min="11483" max="11483" width="9.625" style="1"/>
    <col min="11484" max="11496" width="9" style="1"/>
    <col min="11497" max="11497" width="9.625" style="1"/>
    <col min="11498" max="11498" width="9" style="1"/>
    <col min="11499" max="11499" width="9.625" style="1"/>
    <col min="11500" max="11512" width="9" style="1"/>
    <col min="11513" max="11513" width="9.625" style="1"/>
    <col min="11514" max="11514" width="9" style="1"/>
    <col min="11515" max="11515" width="9.625" style="1"/>
    <col min="11516" max="11528" width="9" style="1"/>
    <col min="11529" max="11529" width="9.625" style="1"/>
    <col min="11530" max="11530" width="9" style="1"/>
    <col min="11531" max="11531" width="9.625" style="1"/>
    <col min="11532" max="11544" width="9" style="1"/>
    <col min="11545" max="11545" width="9.625" style="1"/>
    <col min="11546" max="11546" width="9" style="1"/>
    <col min="11547" max="11547" width="9.625" style="1"/>
    <col min="11548" max="16384" width="9" style="1"/>
  </cols>
  <sheetData>
    <row r="1" spans="1:8" ht="32.1" customHeight="1" thickBot="1">
      <c r="A1" s="248" t="s">
        <v>299</v>
      </c>
      <c r="B1" s="247"/>
      <c r="C1" s="247"/>
      <c r="D1" s="247"/>
      <c r="E1" s="247"/>
      <c r="F1" s="247"/>
      <c r="G1" s="247"/>
      <c r="H1" s="247"/>
    </row>
    <row r="2" spans="1:8" ht="24">
      <c r="A2" s="108" t="s">
        <v>0</v>
      </c>
      <c r="B2" s="9" t="s">
        <v>1</v>
      </c>
      <c r="C2" s="9" t="s">
        <v>2</v>
      </c>
      <c r="D2" s="9" t="s">
        <v>3</v>
      </c>
      <c r="E2" s="10" t="s">
        <v>283</v>
      </c>
      <c r="F2" s="9" t="s">
        <v>4</v>
      </c>
      <c r="G2" s="9" t="s">
        <v>5</v>
      </c>
      <c r="H2" s="9" t="s">
        <v>6</v>
      </c>
    </row>
    <row r="3" spans="1:8" ht="24" customHeight="1">
      <c r="A3" s="130" t="s">
        <v>7</v>
      </c>
      <c r="B3" s="131"/>
      <c r="C3" s="131"/>
      <c r="D3" s="11"/>
      <c r="E3" s="12"/>
      <c r="F3" s="13"/>
      <c r="G3" s="14"/>
      <c r="H3" s="14"/>
    </row>
    <row r="4" spans="1:8" ht="176.25" customHeight="1">
      <c r="A4" s="15" t="s">
        <v>8</v>
      </c>
      <c r="B4" s="16" t="s">
        <v>9</v>
      </c>
      <c r="C4" s="17" t="s">
        <v>10</v>
      </c>
      <c r="D4" s="18">
        <v>1</v>
      </c>
      <c r="E4" s="19">
        <v>314458</v>
      </c>
      <c r="F4" s="20">
        <f>ROUND(D4*E4,0)</f>
        <v>314458</v>
      </c>
      <c r="G4" s="21" t="s">
        <v>11</v>
      </c>
      <c r="H4" s="22" t="s">
        <v>12</v>
      </c>
    </row>
    <row r="5" spans="1:8" ht="111.75" customHeight="1">
      <c r="A5" s="23" t="s">
        <v>13</v>
      </c>
      <c r="B5" s="22" t="s">
        <v>14</v>
      </c>
      <c r="C5" s="24" t="s">
        <v>15</v>
      </c>
      <c r="D5" s="24">
        <v>1</v>
      </c>
      <c r="E5" s="25">
        <v>151831</v>
      </c>
      <c r="F5" s="20">
        <f t="shared" ref="F5:F68" si="0">ROUND(D5*E5,0)</f>
        <v>151831</v>
      </c>
      <c r="G5" s="22" t="s">
        <v>16</v>
      </c>
      <c r="H5" s="22" t="s">
        <v>17</v>
      </c>
    </row>
    <row r="6" spans="1:8">
      <c r="A6" s="109" t="s">
        <v>18</v>
      </c>
      <c r="B6" s="27" t="s">
        <v>19</v>
      </c>
      <c r="C6" s="28"/>
      <c r="D6" s="28"/>
      <c r="E6" s="24"/>
      <c r="F6" s="20"/>
      <c r="G6" s="29"/>
      <c r="H6" s="29"/>
    </row>
    <row r="7" spans="1:8" ht="100.5" customHeight="1">
      <c r="A7" s="109" t="s">
        <v>20</v>
      </c>
      <c r="B7" s="27" t="s">
        <v>21</v>
      </c>
      <c r="C7" s="28" t="s">
        <v>22</v>
      </c>
      <c r="D7" s="39">
        <f>45436.742</f>
        <v>45436.741999999998</v>
      </c>
      <c r="E7" s="30">
        <v>8.57</v>
      </c>
      <c r="F7" s="20">
        <f t="shared" si="0"/>
        <v>389393</v>
      </c>
      <c r="G7" s="31" t="s">
        <v>23</v>
      </c>
      <c r="H7" s="32" t="s">
        <v>282</v>
      </c>
    </row>
    <row r="8" spans="1:8" ht="54" customHeight="1">
      <c r="A8" s="109" t="s">
        <v>24</v>
      </c>
      <c r="B8" s="27" t="s">
        <v>25</v>
      </c>
      <c r="C8" s="28" t="s">
        <v>26</v>
      </c>
      <c r="D8" s="28">
        <v>2107</v>
      </c>
      <c r="E8" s="30">
        <v>6.71</v>
      </c>
      <c r="F8" s="20">
        <f t="shared" si="0"/>
        <v>14138</v>
      </c>
      <c r="G8" s="22" t="s">
        <v>27</v>
      </c>
      <c r="H8" s="22" t="s">
        <v>28</v>
      </c>
    </row>
    <row r="9" spans="1:8">
      <c r="A9" s="109" t="s">
        <v>29</v>
      </c>
      <c r="B9" s="27" t="s">
        <v>30</v>
      </c>
      <c r="C9" s="28"/>
      <c r="D9" s="28"/>
      <c r="E9" s="30"/>
      <c r="F9" s="20"/>
      <c r="G9" s="22"/>
      <c r="H9" s="22"/>
    </row>
    <row r="10" spans="1:8" ht="99" customHeight="1">
      <c r="A10" s="109" t="s">
        <v>20</v>
      </c>
      <c r="B10" s="27" t="s">
        <v>56</v>
      </c>
      <c r="C10" s="28" t="s">
        <v>22</v>
      </c>
      <c r="D10" s="28">
        <f>47541.8+1586+71667.1</f>
        <v>120794.90000000001</v>
      </c>
      <c r="E10" s="30">
        <v>6.34</v>
      </c>
      <c r="F10" s="20">
        <f t="shared" si="0"/>
        <v>765840</v>
      </c>
      <c r="G10" s="22" t="s">
        <v>32</v>
      </c>
      <c r="H10" s="22" t="s">
        <v>33</v>
      </c>
    </row>
    <row r="11" spans="1:8">
      <c r="A11" s="109" t="s">
        <v>34</v>
      </c>
      <c r="B11" s="27" t="s">
        <v>35</v>
      </c>
      <c r="C11" s="28"/>
      <c r="D11" s="28"/>
      <c r="E11" s="30"/>
      <c r="F11" s="20"/>
      <c r="G11" s="22"/>
      <c r="H11" s="22"/>
    </row>
    <row r="12" spans="1:8" ht="38.25" customHeight="1">
      <c r="A12" s="109" t="s">
        <v>36</v>
      </c>
      <c r="B12" s="27" t="s">
        <v>37</v>
      </c>
      <c r="C12" s="28" t="s">
        <v>22</v>
      </c>
      <c r="D12" s="28">
        <f>10573.2+5975</f>
        <v>16548.2</v>
      </c>
      <c r="E12" s="30">
        <v>8.49</v>
      </c>
      <c r="F12" s="20">
        <f t="shared" si="0"/>
        <v>140494</v>
      </c>
      <c r="G12" s="132" t="s">
        <v>38</v>
      </c>
      <c r="H12" s="133" t="s">
        <v>39</v>
      </c>
    </row>
    <row r="13" spans="1:8" ht="38.25" customHeight="1">
      <c r="A13" s="109" t="s">
        <v>40</v>
      </c>
      <c r="B13" s="27" t="s">
        <v>179</v>
      </c>
      <c r="C13" s="28" t="s">
        <v>22</v>
      </c>
      <c r="D13" s="28">
        <v>25051</v>
      </c>
      <c r="E13" s="30">
        <v>29.28</v>
      </c>
      <c r="F13" s="20">
        <f t="shared" si="0"/>
        <v>733493</v>
      </c>
      <c r="G13" s="132"/>
      <c r="H13" s="133"/>
    </row>
    <row r="14" spans="1:8" ht="38.25" customHeight="1">
      <c r="A14" s="109" t="s">
        <v>42</v>
      </c>
      <c r="B14" s="27" t="s">
        <v>180</v>
      </c>
      <c r="C14" s="28" t="s">
        <v>22</v>
      </c>
      <c r="D14" s="28">
        <v>64237.599999999999</v>
      </c>
      <c r="E14" s="30">
        <v>22.65</v>
      </c>
      <c r="F14" s="20">
        <f t="shared" si="0"/>
        <v>1454982</v>
      </c>
      <c r="G14" s="132"/>
      <c r="H14" s="133"/>
    </row>
    <row r="15" spans="1:8" ht="102.95" customHeight="1">
      <c r="A15" s="109" t="s">
        <v>24</v>
      </c>
      <c r="B15" s="27" t="s">
        <v>44</v>
      </c>
      <c r="C15" s="28" t="s">
        <v>22</v>
      </c>
      <c r="D15" s="28">
        <v>8997</v>
      </c>
      <c r="E15" s="30">
        <v>7.6</v>
      </c>
      <c r="F15" s="20">
        <f t="shared" si="0"/>
        <v>68377</v>
      </c>
      <c r="G15" s="31" t="s">
        <v>45</v>
      </c>
      <c r="H15" s="32" t="s">
        <v>268</v>
      </c>
    </row>
    <row r="16" spans="1:8" ht="64.5" customHeight="1">
      <c r="A16" s="109" t="s">
        <v>181</v>
      </c>
      <c r="B16" s="27" t="s">
        <v>47</v>
      </c>
      <c r="C16" s="28" t="s">
        <v>22</v>
      </c>
      <c r="D16" s="28">
        <f>7211.1+7045.8</f>
        <v>14256.900000000001</v>
      </c>
      <c r="E16" s="30">
        <v>20.8</v>
      </c>
      <c r="F16" s="20">
        <f t="shared" si="0"/>
        <v>296544</v>
      </c>
      <c r="G16" s="35" t="s">
        <v>48</v>
      </c>
      <c r="H16" s="35" t="s">
        <v>49</v>
      </c>
    </row>
    <row r="17" spans="1:8" ht="75.75" customHeight="1">
      <c r="A17" s="109" t="s">
        <v>182</v>
      </c>
      <c r="B17" s="27" t="s">
        <v>51</v>
      </c>
      <c r="C17" s="28" t="s">
        <v>22</v>
      </c>
      <c r="D17" s="28">
        <v>8104</v>
      </c>
      <c r="E17" s="30">
        <v>3.13</v>
      </c>
      <c r="F17" s="20">
        <f t="shared" si="0"/>
        <v>25366</v>
      </c>
      <c r="G17" s="36" t="s">
        <v>52</v>
      </c>
      <c r="H17" s="36" t="s">
        <v>53</v>
      </c>
    </row>
    <row r="18" spans="1:8" ht="24">
      <c r="A18" s="109" t="s">
        <v>54</v>
      </c>
      <c r="B18" s="27" t="s">
        <v>55</v>
      </c>
      <c r="C18" s="28"/>
      <c r="D18" s="28"/>
      <c r="E18" s="30"/>
      <c r="F18" s="20"/>
      <c r="G18" s="22"/>
      <c r="H18" s="22"/>
    </row>
    <row r="19" spans="1:8" ht="90.75" customHeight="1">
      <c r="A19" s="109" t="s">
        <v>183</v>
      </c>
      <c r="B19" s="27" t="s">
        <v>184</v>
      </c>
      <c r="C19" s="28" t="s">
        <v>22</v>
      </c>
      <c r="D19" s="28">
        <v>748.1</v>
      </c>
      <c r="E19" s="30">
        <v>6.13</v>
      </c>
      <c r="F19" s="20">
        <f t="shared" si="0"/>
        <v>4586</v>
      </c>
      <c r="G19" s="22" t="s">
        <v>58</v>
      </c>
      <c r="H19" s="22" t="s">
        <v>59</v>
      </c>
    </row>
    <row r="20" spans="1:8" ht="32.1" customHeight="1">
      <c r="A20" s="109" t="s">
        <v>61</v>
      </c>
      <c r="B20" s="27" t="s">
        <v>62</v>
      </c>
      <c r="C20" s="28"/>
      <c r="D20" s="28"/>
      <c r="E20" s="30"/>
      <c r="F20" s="20"/>
      <c r="G20" s="22"/>
      <c r="H20" s="22"/>
    </row>
    <row r="21" spans="1:8" s="7" customFormat="1" ht="89.1" customHeight="1">
      <c r="A21" s="110" t="s">
        <v>20</v>
      </c>
      <c r="B21" s="111" t="s">
        <v>63</v>
      </c>
      <c r="C21" s="112" t="s">
        <v>22</v>
      </c>
      <c r="D21" s="113">
        <f>23347.8+14135</f>
        <v>37482.800000000003</v>
      </c>
      <c r="E21" s="114">
        <v>11.87</v>
      </c>
      <c r="F21" s="20">
        <f t="shared" si="0"/>
        <v>444921</v>
      </c>
      <c r="G21" s="40" t="s">
        <v>64</v>
      </c>
      <c r="H21" s="40" t="s">
        <v>271</v>
      </c>
    </row>
    <row r="22" spans="1:8" ht="135.94999999999999" customHeight="1">
      <c r="A22" s="115" t="s">
        <v>34</v>
      </c>
      <c r="B22" s="27" t="s">
        <v>65</v>
      </c>
      <c r="C22" s="28" t="s">
        <v>22</v>
      </c>
      <c r="D22" s="28">
        <f>47541.8+1586+71667.1</f>
        <v>120794.90000000001</v>
      </c>
      <c r="E22" s="30">
        <v>3.38</v>
      </c>
      <c r="F22" s="20">
        <f t="shared" si="0"/>
        <v>408287</v>
      </c>
      <c r="G22" s="41" t="s">
        <v>66</v>
      </c>
      <c r="H22" s="42" t="s">
        <v>67</v>
      </c>
    </row>
    <row r="23" spans="1:8" ht="150.75" customHeight="1">
      <c r="A23" s="109" t="s">
        <v>24</v>
      </c>
      <c r="B23" s="27" t="s">
        <v>68</v>
      </c>
      <c r="C23" s="28" t="s">
        <v>22</v>
      </c>
      <c r="D23" s="28">
        <f>14914.6+90922.2</f>
        <v>105836.8</v>
      </c>
      <c r="E23" s="30">
        <v>4.4800000000000004</v>
      </c>
      <c r="F23" s="20">
        <f t="shared" si="0"/>
        <v>474149</v>
      </c>
      <c r="G23" s="43" t="s">
        <v>69</v>
      </c>
      <c r="H23" s="42" t="s">
        <v>70</v>
      </c>
    </row>
    <row r="24" spans="1:8" ht="168" customHeight="1">
      <c r="A24" s="109" t="s">
        <v>46</v>
      </c>
      <c r="B24" s="27" t="s">
        <v>71</v>
      </c>
      <c r="C24" s="28" t="s">
        <v>22</v>
      </c>
      <c r="D24" s="116">
        <f>66173.67+4120</f>
        <v>70293.67</v>
      </c>
      <c r="E24" s="30">
        <v>10.199999999999999</v>
      </c>
      <c r="F24" s="20">
        <f t="shared" si="0"/>
        <v>716995</v>
      </c>
      <c r="G24" s="45" t="s">
        <v>72</v>
      </c>
      <c r="H24" s="46" t="s">
        <v>73</v>
      </c>
    </row>
    <row r="25" spans="1:8" ht="72" customHeight="1">
      <c r="A25" s="109" t="s">
        <v>74</v>
      </c>
      <c r="B25" s="27" t="s">
        <v>75</v>
      </c>
      <c r="C25" s="28" t="s">
        <v>22</v>
      </c>
      <c r="D25" s="39">
        <v>3114</v>
      </c>
      <c r="E25" s="30">
        <v>7.19</v>
      </c>
      <c r="F25" s="20">
        <f t="shared" si="0"/>
        <v>22390</v>
      </c>
      <c r="G25" s="47" t="s">
        <v>76</v>
      </c>
      <c r="H25" s="48" t="s">
        <v>264</v>
      </c>
    </row>
    <row r="26" spans="1:8">
      <c r="A26" s="109" t="s">
        <v>86</v>
      </c>
      <c r="B26" s="27" t="s">
        <v>87</v>
      </c>
      <c r="C26" s="28"/>
      <c r="D26" s="28"/>
      <c r="E26" s="30"/>
      <c r="F26" s="20"/>
      <c r="G26" s="22"/>
      <c r="H26" s="22"/>
    </row>
    <row r="27" spans="1:8">
      <c r="A27" s="109" t="s">
        <v>34</v>
      </c>
      <c r="B27" s="27" t="s">
        <v>88</v>
      </c>
      <c r="C27" s="28"/>
      <c r="D27" s="28"/>
      <c r="E27" s="30"/>
      <c r="F27" s="20"/>
      <c r="G27" s="22"/>
      <c r="H27" s="22"/>
    </row>
    <row r="28" spans="1:8" ht="87.95" customHeight="1">
      <c r="A28" s="109" t="s">
        <v>36</v>
      </c>
      <c r="B28" s="27" t="s">
        <v>89</v>
      </c>
      <c r="C28" s="28" t="s">
        <v>90</v>
      </c>
      <c r="D28" s="28">
        <v>1568</v>
      </c>
      <c r="E28" s="30">
        <v>1</v>
      </c>
      <c r="F28" s="20">
        <f t="shared" si="0"/>
        <v>1568</v>
      </c>
      <c r="G28" s="49" t="s">
        <v>296</v>
      </c>
      <c r="H28" s="49" t="s">
        <v>273</v>
      </c>
    </row>
    <row r="29" spans="1:8" ht="90.95" customHeight="1">
      <c r="A29" s="109" t="s">
        <v>40</v>
      </c>
      <c r="B29" s="50" t="s">
        <v>93</v>
      </c>
      <c r="C29" s="28" t="s">
        <v>90</v>
      </c>
      <c r="D29" s="28">
        <v>42595</v>
      </c>
      <c r="E29" s="30">
        <v>1</v>
      </c>
      <c r="F29" s="20">
        <f t="shared" si="0"/>
        <v>42595</v>
      </c>
      <c r="G29" s="49" t="s">
        <v>296</v>
      </c>
      <c r="H29" s="49" t="s">
        <v>272</v>
      </c>
    </row>
    <row r="30" spans="1:8" ht="87.95" customHeight="1">
      <c r="A30" s="109" t="s">
        <v>42</v>
      </c>
      <c r="B30" s="22" t="s">
        <v>96</v>
      </c>
      <c r="C30" s="28" t="s">
        <v>90</v>
      </c>
      <c r="D30" s="28">
        <v>1680</v>
      </c>
      <c r="E30" s="30">
        <v>1</v>
      </c>
      <c r="F30" s="20">
        <f t="shared" si="0"/>
        <v>1680</v>
      </c>
      <c r="G30" s="49" t="s">
        <v>296</v>
      </c>
      <c r="H30" s="49" t="s">
        <v>95</v>
      </c>
    </row>
    <row r="31" spans="1:8" ht="23.1" customHeight="1">
      <c r="A31" s="109" t="s">
        <v>185</v>
      </c>
      <c r="B31" s="22" t="s">
        <v>186</v>
      </c>
      <c r="C31" s="28"/>
      <c r="D31" s="28"/>
      <c r="E31" s="30"/>
      <c r="F31" s="20"/>
      <c r="G31" s="49"/>
      <c r="H31" s="49"/>
    </row>
    <row r="32" spans="1:8">
      <c r="A32" s="109" t="s">
        <v>97</v>
      </c>
      <c r="B32" s="27" t="s">
        <v>98</v>
      </c>
      <c r="C32" s="28"/>
      <c r="D32" s="28"/>
      <c r="E32" s="30"/>
      <c r="F32" s="20"/>
      <c r="G32" s="22"/>
      <c r="H32" s="22"/>
    </row>
    <row r="33" spans="1:8" ht="69.75" customHeight="1">
      <c r="A33" s="109" t="s">
        <v>24</v>
      </c>
      <c r="B33" s="27" t="s">
        <v>187</v>
      </c>
      <c r="C33" s="28" t="s">
        <v>100</v>
      </c>
      <c r="D33" s="28">
        <v>4519.6000000000004</v>
      </c>
      <c r="E33" s="30">
        <v>261.49</v>
      </c>
      <c r="F33" s="20">
        <f t="shared" si="0"/>
        <v>1181830</v>
      </c>
      <c r="G33" s="22" t="s">
        <v>101</v>
      </c>
      <c r="H33" s="48" t="s">
        <v>260</v>
      </c>
    </row>
    <row r="34" spans="1:8">
      <c r="A34" s="117" t="s">
        <v>103</v>
      </c>
      <c r="B34" s="52" t="s">
        <v>104</v>
      </c>
      <c r="C34" s="105"/>
      <c r="D34" s="53"/>
      <c r="E34" s="30"/>
      <c r="F34" s="20"/>
      <c r="G34" s="35"/>
      <c r="H34" s="35"/>
    </row>
    <row r="35" spans="1:8" ht="84.95" customHeight="1">
      <c r="A35" s="117" t="s">
        <v>20</v>
      </c>
      <c r="B35" s="52" t="s">
        <v>188</v>
      </c>
      <c r="C35" s="53" t="s">
        <v>100</v>
      </c>
      <c r="D35" s="53">
        <v>380</v>
      </c>
      <c r="E35" s="30">
        <v>346.22</v>
      </c>
      <c r="F35" s="20">
        <f t="shared" si="0"/>
        <v>131564</v>
      </c>
      <c r="G35" s="54" t="s">
        <v>256</v>
      </c>
      <c r="H35" s="48" t="s">
        <v>257</v>
      </c>
    </row>
    <row r="36" spans="1:8">
      <c r="A36" s="117" t="s">
        <v>105</v>
      </c>
      <c r="B36" s="52" t="s">
        <v>106</v>
      </c>
      <c r="C36" s="53"/>
      <c r="D36" s="53"/>
      <c r="E36" s="30"/>
      <c r="F36" s="20"/>
      <c r="G36" s="35"/>
      <c r="H36" s="35"/>
    </row>
    <row r="37" spans="1:8" ht="48">
      <c r="A37" s="117" t="s">
        <v>20</v>
      </c>
      <c r="B37" s="52" t="s">
        <v>107</v>
      </c>
      <c r="C37" s="53" t="s">
        <v>100</v>
      </c>
      <c r="D37" s="53">
        <v>180.5</v>
      </c>
      <c r="E37" s="30">
        <v>991.39</v>
      </c>
      <c r="F37" s="20">
        <f t="shared" si="0"/>
        <v>178946</v>
      </c>
      <c r="G37" s="54" t="s">
        <v>258</v>
      </c>
      <c r="H37" s="48" t="s">
        <v>259</v>
      </c>
    </row>
    <row r="38" spans="1:8">
      <c r="A38" s="117" t="s">
        <v>108</v>
      </c>
      <c r="B38" s="52" t="s">
        <v>109</v>
      </c>
      <c r="C38" s="53"/>
      <c r="D38" s="53"/>
      <c r="E38" s="30"/>
      <c r="F38" s="20"/>
      <c r="G38" s="35"/>
      <c r="H38" s="35"/>
    </row>
    <row r="39" spans="1:8" ht="73.5" customHeight="1">
      <c r="A39" s="117" t="s">
        <v>20</v>
      </c>
      <c r="B39" s="52" t="s">
        <v>189</v>
      </c>
      <c r="C39" s="53" t="s">
        <v>100</v>
      </c>
      <c r="D39" s="53">
        <v>330</v>
      </c>
      <c r="E39" s="30">
        <v>103.18</v>
      </c>
      <c r="F39" s="20">
        <f t="shared" si="0"/>
        <v>34049</v>
      </c>
      <c r="G39" s="35" t="s">
        <v>111</v>
      </c>
      <c r="H39" s="48" t="s">
        <v>274</v>
      </c>
    </row>
    <row r="40" spans="1:8" ht="78" customHeight="1">
      <c r="A40" s="117" t="s">
        <v>24</v>
      </c>
      <c r="B40" s="52" t="s">
        <v>112</v>
      </c>
      <c r="C40" s="53" t="s">
        <v>100</v>
      </c>
      <c r="D40" s="53">
        <v>330</v>
      </c>
      <c r="E40" s="30">
        <v>146.87</v>
      </c>
      <c r="F40" s="20">
        <f t="shared" si="0"/>
        <v>48467</v>
      </c>
      <c r="G40" s="35" t="s">
        <v>113</v>
      </c>
      <c r="H40" s="35" t="s">
        <v>114</v>
      </c>
    </row>
    <row r="41" spans="1:8" ht="33.950000000000003" customHeight="1">
      <c r="A41" s="118" t="s">
        <v>115</v>
      </c>
      <c r="B41" s="40" t="s">
        <v>116</v>
      </c>
      <c r="C41" s="56"/>
      <c r="D41" s="56"/>
      <c r="E41" s="30"/>
      <c r="F41" s="20"/>
      <c r="G41" s="40"/>
      <c r="H41" s="40"/>
    </row>
    <row r="42" spans="1:8" ht="72" customHeight="1">
      <c r="A42" s="118" t="s">
        <v>20</v>
      </c>
      <c r="B42" s="40" t="s">
        <v>117</v>
      </c>
      <c r="C42" s="56" t="s">
        <v>22</v>
      </c>
      <c r="D42" s="56">
        <v>1748.7</v>
      </c>
      <c r="E42" s="30">
        <v>345.41</v>
      </c>
      <c r="F42" s="20">
        <f t="shared" si="0"/>
        <v>604018</v>
      </c>
      <c r="G42" s="40" t="s">
        <v>119</v>
      </c>
      <c r="H42" s="40" t="s">
        <v>253</v>
      </c>
    </row>
    <row r="43" spans="1:8" ht="79.5" customHeight="1">
      <c r="A43" s="118" t="s">
        <v>34</v>
      </c>
      <c r="B43" s="40" t="s">
        <v>190</v>
      </c>
      <c r="C43" s="56" t="s">
        <v>22</v>
      </c>
      <c r="D43" s="56">
        <v>4796.5</v>
      </c>
      <c r="E43" s="30">
        <v>372.87</v>
      </c>
      <c r="F43" s="20">
        <f t="shared" si="0"/>
        <v>1788471</v>
      </c>
      <c r="G43" s="40" t="s">
        <v>119</v>
      </c>
      <c r="H43" s="40" t="s">
        <v>120</v>
      </c>
    </row>
    <row r="44" spans="1:8" ht="79.5" customHeight="1">
      <c r="A44" s="118" t="s">
        <v>24</v>
      </c>
      <c r="B44" s="40" t="s">
        <v>121</v>
      </c>
      <c r="C44" s="56" t="s">
        <v>22</v>
      </c>
      <c r="D44" s="56">
        <v>427</v>
      </c>
      <c r="E44" s="30">
        <v>549.66</v>
      </c>
      <c r="F44" s="20">
        <f t="shared" si="0"/>
        <v>234705</v>
      </c>
      <c r="G44" s="40" t="s">
        <v>122</v>
      </c>
      <c r="H44" s="40" t="s">
        <v>123</v>
      </c>
    </row>
    <row r="45" spans="1:8" ht="30" customHeight="1">
      <c r="A45" s="119" t="s">
        <v>124</v>
      </c>
      <c r="B45" s="58" t="s">
        <v>125</v>
      </c>
      <c r="C45" s="59"/>
      <c r="D45" s="44"/>
      <c r="E45" s="30"/>
      <c r="F45" s="20"/>
      <c r="G45" s="22"/>
      <c r="H45" s="22"/>
    </row>
    <row r="46" spans="1:8" ht="15">
      <c r="A46" s="119" t="s">
        <v>20</v>
      </c>
      <c r="B46" s="58" t="s">
        <v>126</v>
      </c>
      <c r="C46" s="59"/>
      <c r="D46" s="44"/>
      <c r="E46" s="30"/>
      <c r="F46" s="20"/>
      <c r="G46" s="29"/>
      <c r="H46" s="60"/>
    </row>
    <row r="47" spans="1:8" ht="15">
      <c r="A47" s="119" t="s">
        <v>127</v>
      </c>
      <c r="B47" s="58" t="s">
        <v>191</v>
      </c>
      <c r="C47" s="59"/>
      <c r="D47" s="44"/>
      <c r="E47" s="30"/>
      <c r="F47" s="20"/>
      <c r="G47" s="29"/>
      <c r="H47" s="60"/>
    </row>
    <row r="48" spans="1:8" ht="92.25" customHeight="1">
      <c r="A48" s="119" t="s">
        <v>36</v>
      </c>
      <c r="B48" s="58" t="s">
        <v>192</v>
      </c>
      <c r="C48" s="59" t="s">
        <v>22</v>
      </c>
      <c r="D48" s="44">
        <v>2100.15</v>
      </c>
      <c r="E48" s="30">
        <v>14.939539999999999</v>
      </c>
      <c r="F48" s="20">
        <f t="shared" si="0"/>
        <v>31375</v>
      </c>
      <c r="G48" s="61" t="s">
        <v>129</v>
      </c>
      <c r="H48" s="62" t="s">
        <v>130</v>
      </c>
    </row>
    <row r="49" spans="1:8" ht="84" customHeight="1">
      <c r="A49" s="119" t="s">
        <v>40</v>
      </c>
      <c r="B49" s="58" t="s">
        <v>193</v>
      </c>
      <c r="C49" s="59" t="s">
        <v>22</v>
      </c>
      <c r="D49" s="44">
        <v>1104.3800000000001</v>
      </c>
      <c r="E49" s="30">
        <v>15.706899999999999</v>
      </c>
      <c r="F49" s="20">
        <f t="shared" si="0"/>
        <v>17346</v>
      </c>
      <c r="G49" s="61" t="s">
        <v>129</v>
      </c>
      <c r="H49" s="62" t="s">
        <v>130</v>
      </c>
    </row>
    <row r="50" spans="1:8" ht="30.95" customHeight="1">
      <c r="A50" s="119" t="s">
        <v>131</v>
      </c>
      <c r="B50" s="58" t="s">
        <v>194</v>
      </c>
      <c r="C50" s="59"/>
      <c r="D50" s="44"/>
      <c r="E50" s="30"/>
      <c r="F50" s="20"/>
      <c r="G50" s="61"/>
      <c r="H50" s="62"/>
    </row>
    <row r="51" spans="1:8" ht="80.099999999999994" customHeight="1">
      <c r="A51" s="119" t="s">
        <v>36</v>
      </c>
      <c r="B51" s="63" t="s">
        <v>195</v>
      </c>
      <c r="C51" s="59" t="s">
        <v>100</v>
      </c>
      <c r="D51" s="44">
        <f>163.5+68</f>
        <v>231.5</v>
      </c>
      <c r="E51" s="30">
        <v>72.853757900000005</v>
      </c>
      <c r="F51" s="20">
        <f t="shared" si="0"/>
        <v>16866</v>
      </c>
      <c r="G51" s="64" t="s">
        <v>133</v>
      </c>
      <c r="H51" s="65" t="s">
        <v>134</v>
      </c>
    </row>
    <row r="52" spans="1:8" ht="69.95" customHeight="1">
      <c r="A52" s="119" t="s">
        <v>40</v>
      </c>
      <c r="B52" s="63" t="s">
        <v>196</v>
      </c>
      <c r="C52" s="59" t="s">
        <v>100</v>
      </c>
      <c r="D52" s="44">
        <f>116.5+198</f>
        <v>314.5</v>
      </c>
      <c r="E52" s="30">
        <v>100.3232076</v>
      </c>
      <c r="F52" s="20">
        <f t="shared" si="0"/>
        <v>31552</v>
      </c>
      <c r="G52" s="64" t="s">
        <v>133</v>
      </c>
      <c r="H52" s="65" t="s">
        <v>134</v>
      </c>
    </row>
    <row r="53" spans="1:8" ht="62.1" customHeight="1">
      <c r="A53" s="119" t="s">
        <v>135</v>
      </c>
      <c r="B53" s="58" t="s">
        <v>136</v>
      </c>
      <c r="C53" s="59" t="s">
        <v>22</v>
      </c>
      <c r="D53" s="44">
        <f>103.97+166.64</f>
        <v>270.61</v>
      </c>
      <c r="E53" s="30">
        <v>166.11</v>
      </c>
      <c r="F53" s="20">
        <f t="shared" si="0"/>
        <v>44951</v>
      </c>
      <c r="G53" s="66" t="s">
        <v>137</v>
      </c>
      <c r="H53" s="67" t="s">
        <v>250</v>
      </c>
    </row>
    <row r="54" spans="1:8" ht="62.25" customHeight="1">
      <c r="A54" s="119" t="s">
        <v>197</v>
      </c>
      <c r="B54" s="63" t="s">
        <v>139</v>
      </c>
      <c r="C54" s="59" t="s">
        <v>22</v>
      </c>
      <c r="D54" s="44">
        <f>207.64+376.71</f>
        <v>584.34999999999991</v>
      </c>
      <c r="E54" s="30">
        <v>142.51313999999999</v>
      </c>
      <c r="F54" s="20">
        <f t="shared" si="0"/>
        <v>83278</v>
      </c>
      <c r="G54" s="68" t="s">
        <v>140</v>
      </c>
      <c r="H54" s="69" t="s">
        <v>275</v>
      </c>
    </row>
    <row r="55" spans="1:8" ht="66.75" customHeight="1">
      <c r="A55" s="119" t="s">
        <v>138</v>
      </c>
      <c r="B55" s="58" t="s">
        <v>198</v>
      </c>
      <c r="C55" s="59" t="s">
        <v>22</v>
      </c>
      <c r="D55" s="44">
        <f>5.4+11.1</f>
        <v>16.5</v>
      </c>
      <c r="E55" s="30">
        <v>142.51</v>
      </c>
      <c r="F55" s="20">
        <f t="shared" si="0"/>
        <v>2351</v>
      </c>
      <c r="G55" s="68" t="s">
        <v>140</v>
      </c>
      <c r="H55" s="69" t="s">
        <v>276</v>
      </c>
    </row>
    <row r="56" spans="1:8" ht="68.099999999999994" customHeight="1">
      <c r="A56" s="119" t="s">
        <v>160</v>
      </c>
      <c r="B56" s="63" t="s">
        <v>199</v>
      </c>
      <c r="C56" s="59" t="s">
        <v>22</v>
      </c>
      <c r="D56" s="44">
        <f>13.7+27.9</f>
        <v>41.599999999999994</v>
      </c>
      <c r="E56" s="30">
        <v>354.69</v>
      </c>
      <c r="F56" s="20">
        <f t="shared" si="0"/>
        <v>14755</v>
      </c>
      <c r="G56" s="70" t="s">
        <v>200</v>
      </c>
      <c r="H56" s="71" t="s">
        <v>277</v>
      </c>
    </row>
    <row r="57" spans="1:8" ht="78" customHeight="1">
      <c r="A57" s="119" t="s">
        <v>162</v>
      </c>
      <c r="B57" s="72" t="s">
        <v>201</v>
      </c>
      <c r="C57" s="59" t="s">
        <v>22</v>
      </c>
      <c r="D57" s="44">
        <f>38.6+16.1</f>
        <v>54.7</v>
      </c>
      <c r="E57" s="30">
        <v>321.71568000000002</v>
      </c>
      <c r="F57" s="20">
        <f t="shared" si="0"/>
        <v>17598</v>
      </c>
      <c r="G57" s="70" t="s">
        <v>202</v>
      </c>
      <c r="H57" s="71" t="s">
        <v>277</v>
      </c>
    </row>
    <row r="58" spans="1:8" ht="103.5" customHeight="1">
      <c r="A58" s="119" t="s">
        <v>164</v>
      </c>
      <c r="B58" s="58" t="s">
        <v>203</v>
      </c>
      <c r="C58" s="59" t="s">
        <v>157</v>
      </c>
      <c r="D58" s="44">
        <f>1226.4+486.9</f>
        <v>1713.3000000000002</v>
      </c>
      <c r="E58" s="30">
        <v>0.86328000000000005</v>
      </c>
      <c r="F58" s="20">
        <f t="shared" si="0"/>
        <v>1479</v>
      </c>
      <c r="G58" s="61" t="s">
        <v>158</v>
      </c>
      <c r="H58" s="73" t="s">
        <v>204</v>
      </c>
    </row>
    <row r="59" spans="1:8" ht="71.099999999999994" customHeight="1">
      <c r="A59" s="119" t="s">
        <v>141</v>
      </c>
      <c r="B59" s="63" t="s">
        <v>142</v>
      </c>
      <c r="C59" s="59" t="s">
        <v>22</v>
      </c>
      <c r="D59" s="44">
        <f>1.53+3.12</f>
        <v>4.6500000000000004</v>
      </c>
      <c r="E59" s="30">
        <v>354.69</v>
      </c>
      <c r="F59" s="20">
        <f t="shared" si="0"/>
        <v>1649</v>
      </c>
      <c r="G59" s="74" t="s">
        <v>143</v>
      </c>
      <c r="H59" s="75" t="s">
        <v>275</v>
      </c>
    </row>
    <row r="60" spans="1:8" ht="72" customHeight="1">
      <c r="A60" s="120" t="s">
        <v>144</v>
      </c>
      <c r="B60" s="40" t="s">
        <v>173</v>
      </c>
      <c r="C60" s="77" t="s">
        <v>22</v>
      </c>
      <c r="D60" s="78">
        <f>46+96.5</f>
        <v>142.5</v>
      </c>
      <c r="E60" s="30">
        <v>142.51</v>
      </c>
      <c r="F60" s="20">
        <f t="shared" si="0"/>
        <v>20308</v>
      </c>
      <c r="G60" s="68" t="s">
        <v>146</v>
      </c>
      <c r="H60" s="69" t="s">
        <v>275</v>
      </c>
    </row>
    <row r="61" spans="1:8" ht="71.099999999999994" customHeight="1">
      <c r="A61" s="120" t="s">
        <v>147</v>
      </c>
      <c r="B61" s="40" t="s">
        <v>175</v>
      </c>
      <c r="C61" s="77" t="s">
        <v>22</v>
      </c>
      <c r="D61" s="78">
        <f>52.2+106.2</f>
        <v>158.4</v>
      </c>
      <c r="E61" s="30">
        <v>354.69</v>
      </c>
      <c r="F61" s="20">
        <f t="shared" si="0"/>
        <v>56183</v>
      </c>
      <c r="G61" s="79" t="s">
        <v>149</v>
      </c>
      <c r="H61" s="32" t="s">
        <v>278</v>
      </c>
    </row>
    <row r="62" spans="1:8" ht="78.95" customHeight="1">
      <c r="A62" s="120" t="s">
        <v>172</v>
      </c>
      <c r="B62" s="27" t="s">
        <v>205</v>
      </c>
      <c r="C62" s="28" t="s">
        <v>22</v>
      </c>
      <c r="D62" s="39">
        <f>571.16+1103.96</f>
        <v>1675.12</v>
      </c>
      <c r="E62" s="30">
        <v>7.194</v>
      </c>
      <c r="F62" s="20">
        <f t="shared" si="0"/>
        <v>12051</v>
      </c>
      <c r="G62" s="47" t="s">
        <v>76</v>
      </c>
      <c r="H62" s="48" t="s">
        <v>264</v>
      </c>
    </row>
    <row r="63" spans="1:8" ht="29.1" customHeight="1">
      <c r="A63" s="119" t="s">
        <v>150</v>
      </c>
      <c r="B63" s="58" t="s">
        <v>151</v>
      </c>
      <c r="C63" s="59"/>
      <c r="D63" s="44"/>
      <c r="E63" s="30"/>
      <c r="F63" s="20"/>
      <c r="G63" s="22"/>
      <c r="H63" s="60"/>
    </row>
    <row r="64" spans="1:8" ht="93.75" customHeight="1">
      <c r="A64" s="120" t="s">
        <v>127</v>
      </c>
      <c r="B64" s="80" t="s">
        <v>206</v>
      </c>
      <c r="C64" s="81" t="s">
        <v>22</v>
      </c>
      <c r="D64" s="82">
        <v>2772.05</v>
      </c>
      <c r="E64" s="30">
        <v>14.939539999999999</v>
      </c>
      <c r="F64" s="20">
        <f t="shared" si="0"/>
        <v>41413</v>
      </c>
      <c r="G64" s="61" t="s">
        <v>129</v>
      </c>
      <c r="H64" s="62" t="s">
        <v>153</v>
      </c>
    </row>
    <row r="65" spans="1:8" ht="74.099999999999994" customHeight="1">
      <c r="A65" s="119" t="s">
        <v>135</v>
      </c>
      <c r="B65" s="58" t="s">
        <v>154</v>
      </c>
      <c r="C65" s="59" t="s">
        <v>22</v>
      </c>
      <c r="D65" s="44">
        <v>132.4</v>
      </c>
      <c r="E65" s="30">
        <v>178.57</v>
      </c>
      <c r="F65" s="20">
        <f t="shared" si="0"/>
        <v>23643</v>
      </c>
      <c r="G65" s="66" t="s">
        <v>137</v>
      </c>
      <c r="H65" s="67" t="s">
        <v>250</v>
      </c>
    </row>
    <row r="66" spans="1:8" ht="96.75" customHeight="1">
      <c r="A66" s="120" t="s">
        <v>138</v>
      </c>
      <c r="B66" s="83" t="s">
        <v>156</v>
      </c>
      <c r="C66" s="81" t="s">
        <v>157</v>
      </c>
      <c r="D66" s="82">
        <v>21730.9</v>
      </c>
      <c r="E66" s="30">
        <v>0.61868400000000001</v>
      </c>
      <c r="F66" s="20">
        <f t="shared" si="0"/>
        <v>13445</v>
      </c>
      <c r="G66" s="84" t="s">
        <v>158</v>
      </c>
      <c r="H66" s="85" t="s">
        <v>159</v>
      </c>
    </row>
    <row r="67" spans="1:8" ht="75" customHeight="1">
      <c r="A67" s="120" t="s">
        <v>160</v>
      </c>
      <c r="B67" s="83" t="s">
        <v>161</v>
      </c>
      <c r="C67" s="81" t="s">
        <v>22</v>
      </c>
      <c r="D67" s="82">
        <v>535.75</v>
      </c>
      <c r="E67" s="30">
        <v>153.20162550000001</v>
      </c>
      <c r="F67" s="20">
        <f t="shared" si="0"/>
        <v>82078</v>
      </c>
      <c r="G67" s="68" t="s">
        <v>146</v>
      </c>
      <c r="H67" s="69" t="s">
        <v>275</v>
      </c>
    </row>
    <row r="68" spans="1:8" ht="96.75" customHeight="1">
      <c r="A68" s="120" t="s">
        <v>162</v>
      </c>
      <c r="B68" s="83" t="s">
        <v>163</v>
      </c>
      <c r="C68" s="81" t="s">
        <v>157</v>
      </c>
      <c r="D68" s="82">
        <v>6282.5</v>
      </c>
      <c r="E68" s="30">
        <v>0.72179800000000005</v>
      </c>
      <c r="F68" s="20">
        <f t="shared" si="0"/>
        <v>4535</v>
      </c>
      <c r="G68" s="84" t="s">
        <v>158</v>
      </c>
      <c r="H68" s="85" t="s">
        <v>159</v>
      </c>
    </row>
    <row r="69" spans="1:8" ht="72.95" customHeight="1">
      <c r="A69" s="120" t="s">
        <v>164</v>
      </c>
      <c r="B69" s="83" t="s">
        <v>165</v>
      </c>
      <c r="C69" s="81" t="s">
        <v>22</v>
      </c>
      <c r="D69" s="82">
        <f>2282.82-214.92</f>
        <v>2067.9</v>
      </c>
      <c r="E69" s="30">
        <v>270.45513275000002</v>
      </c>
      <c r="F69" s="20">
        <f t="shared" ref="F69:F88" si="1">ROUND(D69*E69,0)</f>
        <v>559274</v>
      </c>
      <c r="G69" s="86" t="s">
        <v>166</v>
      </c>
      <c r="H69" s="87" t="s">
        <v>279</v>
      </c>
    </row>
    <row r="70" spans="1:8" ht="72" customHeight="1">
      <c r="A70" s="120" t="s">
        <v>141</v>
      </c>
      <c r="B70" s="83" t="s">
        <v>167</v>
      </c>
      <c r="C70" s="81" t="s">
        <v>22</v>
      </c>
      <c r="D70" s="82">
        <v>2.4500000000000002</v>
      </c>
      <c r="E70" s="30">
        <v>381.29</v>
      </c>
      <c r="F70" s="20">
        <f t="shared" si="1"/>
        <v>934</v>
      </c>
      <c r="G70" s="88" t="s">
        <v>143</v>
      </c>
      <c r="H70" s="89" t="s">
        <v>276</v>
      </c>
    </row>
    <row r="71" spans="1:8" ht="99" customHeight="1">
      <c r="A71" s="120" t="s">
        <v>144</v>
      </c>
      <c r="B71" s="83" t="s">
        <v>169</v>
      </c>
      <c r="C71" s="81" t="s">
        <v>157</v>
      </c>
      <c r="D71" s="82">
        <v>23472.400000000001</v>
      </c>
      <c r="E71" s="30">
        <v>0.72179800000000005</v>
      </c>
      <c r="F71" s="20">
        <f t="shared" si="1"/>
        <v>16942</v>
      </c>
      <c r="G71" s="84" t="s">
        <v>158</v>
      </c>
      <c r="H71" s="85" t="s">
        <v>159</v>
      </c>
    </row>
    <row r="72" spans="1:8" ht="86.25" customHeight="1">
      <c r="A72" s="120" t="s">
        <v>147</v>
      </c>
      <c r="B72" s="83" t="s">
        <v>170</v>
      </c>
      <c r="C72" s="81" t="s">
        <v>22</v>
      </c>
      <c r="D72" s="82">
        <v>200.56</v>
      </c>
      <c r="E72" s="30">
        <v>277.0930965</v>
      </c>
      <c r="F72" s="20">
        <f t="shared" si="1"/>
        <v>55574</v>
      </c>
      <c r="G72" s="79" t="s">
        <v>171</v>
      </c>
      <c r="H72" s="87" t="s">
        <v>279</v>
      </c>
    </row>
    <row r="73" spans="1:8" ht="74.25" customHeight="1">
      <c r="A73" s="120" t="s">
        <v>172</v>
      </c>
      <c r="B73" s="40" t="s">
        <v>173</v>
      </c>
      <c r="C73" s="77" t="s">
        <v>22</v>
      </c>
      <c r="D73" s="78">
        <v>59.11</v>
      </c>
      <c r="E73" s="30">
        <v>142.51</v>
      </c>
      <c r="F73" s="20">
        <f t="shared" si="1"/>
        <v>8424</v>
      </c>
      <c r="G73" s="68" t="s">
        <v>146</v>
      </c>
      <c r="H73" s="69" t="s">
        <v>275</v>
      </c>
    </row>
    <row r="74" spans="1:8" ht="84.75" customHeight="1">
      <c r="A74" s="120" t="s">
        <v>174</v>
      </c>
      <c r="B74" s="40" t="s">
        <v>175</v>
      </c>
      <c r="C74" s="77" t="s">
        <v>22</v>
      </c>
      <c r="D74" s="78">
        <v>67.64</v>
      </c>
      <c r="E74" s="30">
        <v>354.69</v>
      </c>
      <c r="F74" s="20">
        <f t="shared" si="1"/>
        <v>23991</v>
      </c>
      <c r="G74" s="79" t="s">
        <v>149</v>
      </c>
      <c r="H74" s="32" t="s">
        <v>278</v>
      </c>
    </row>
    <row r="75" spans="1:8" ht="48.75" customHeight="1">
      <c r="A75" s="120" t="s">
        <v>207</v>
      </c>
      <c r="B75" s="83" t="s">
        <v>176</v>
      </c>
      <c r="C75" s="81" t="s">
        <v>90</v>
      </c>
      <c r="D75" s="82">
        <v>1539</v>
      </c>
      <c r="E75" s="30">
        <v>3.6</v>
      </c>
      <c r="F75" s="20">
        <f t="shared" si="1"/>
        <v>5540</v>
      </c>
      <c r="G75" s="40" t="s">
        <v>177</v>
      </c>
      <c r="H75" s="90" t="s">
        <v>178</v>
      </c>
    </row>
    <row r="76" spans="1:8" ht="72" customHeight="1">
      <c r="A76" s="120" t="s">
        <v>208</v>
      </c>
      <c r="B76" s="27" t="s">
        <v>205</v>
      </c>
      <c r="C76" s="28" t="s">
        <v>22</v>
      </c>
      <c r="D76" s="39">
        <v>1103.96</v>
      </c>
      <c r="E76" s="30">
        <v>7.194</v>
      </c>
      <c r="F76" s="20">
        <f t="shared" si="1"/>
        <v>7942</v>
      </c>
      <c r="G76" s="47" t="s">
        <v>76</v>
      </c>
      <c r="H76" s="48" t="s">
        <v>264</v>
      </c>
    </row>
    <row r="77" spans="1:8" ht="26.1" customHeight="1">
      <c r="A77" s="91" t="s">
        <v>209</v>
      </c>
      <c r="B77" s="83" t="s">
        <v>210</v>
      </c>
      <c r="C77" s="92"/>
      <c r="D77" s="93"/>
      <c r="E77" s="94"/>
      <c r="F77" s="20"/>
      <c r="G77" s="27"/>
      <c r="H77" s="90"/>
    </row>
    <row r="78" spans="1:8" ht="90" customHeight="1">
      <c r="A78" s="91" t="s">
        <v>127</v>
      </c>
      <c r="B78" s="83" t="s">
        <v>152</v>
      </c>
      <c r="C78" s="92" t="s">
        <v>22</v>
      </c>
      <c r="D78" s="93">
        <f>794.33</f>
        <v>794.33</v>
      </c>
      <c r="E78" s="30">
        <v>15.706899999999999</v>
      </c>
      <c r="F78" s="20">
        <f t="shared" si="1"/>
        <v>12476</v>
      </c>
      <c r="G78" s="61" t="s">
        <v>211</v>
      </c>
      <c r="H78" s="62" t="s">
        <v>212</v>
      </c>
    </row>
    <row r="79" spans="1:8" ht="69.95" customHeight="1">
      <c r="A79" s="91" t="s">
        <v>131</v>
      </c>
      <c r="B79" s="96" t="s">
        <v>213</v>
      </c>
      <c r="C79" s="97" t="s">
        <v>22</v>
      </c>
      <c r="D79" s="98">
        <f>63.07</f>
        <v>63.07</v>
      </c>
      <c r="E79" s="94">
        <v>166.11</v>
      </c>
      <c r="F79" s="20">
        <f t="shared" si="1"/>
        <v>10477</v>
      </c>
      <c r="G79" s="99" t="s">
        <v>214</v>
      </c>
      <c r="H79" s="67" t="s">
        <v>281</v>
      </c>
    </row>
    <row r="80" spans="1:8" ht="65.25" customHeight="1">
      <c r="A80" s="100" t="s">
        <v>135</v>
      </c>
      <c r="B80" s="101" t="s">
        <v>215</v>
      </c>
      <c r="C80" s="102" t="s">
        <v>22</v>
      </c>
      <c r="D80" s="44">
        <f>92.8</f>
        <v>92.8</v>
      </c>
      <c r="E80" s="30">
        <v>166.10946000000001</v>
      </c>
      <c r="F80" s="20">
        <f t="shared" si="1"/>
        <v>15415</v>
      </c>
      <c r="G80" s="99" t="s">
        <v>155</v>
      </c>
      <c r="H80" s="67" t="s">
        <v>250</v>
      </c>
    </row>
    <row r="81" spans="1:8" ht="65.25" customHeight="1">
      <c r="A81" s="103" t="s">
        <v>197</v>
      </c>
      <c r="B81" s="96" t="s">
        <v>216</v>
      </c>
      <c r="C81" s="97" t="s">
        <v>22</v>
      </c>
      <c r="D81" s="98">
        <f>76.16</f>
        <v>76.16</v>
      </c>
      <c r="E81" s="94">
        <v>142.51</v>
      </c>
      <c r="F81" s="20">
        <f t="shared" si="1"/>
        <v>10854</v>
      </c>
      <c r="G81" s="68" t="s">
        <v>217</v>
      </c>
      <c r="H81" s="69" t="s">
        <v>276</v>
      </c>
    </row>
    <row r="82" spans="1:8" ht="98.25" customHeight="1">
      <c r="A82" s="103" t="s">
        <v>138</v>
      </c>
      <c r="B82" s="96" t="s">
        <v>218</v>
      </c>
      <c r="C82" s="97" t="s">
        <v>157</v>
      </c>
      <c r="D82" s="98">
        <f>54831.6</f>
        <v>54831.6</v>
      </c>
      <c r="E82" s="121">
        <v>0.74</v>
      </c>
      <c r="F82" s="20">
        <f t="shared" si="1"/>
        <v>40575</v>
      </c>
      <c r="G82" s="84" t="s">
        <v>158</v>
      </c>
      <c r="H82" s="85" t="s">
        <v>204</v>
      </c>
    </row>
    <row r="83" spans="1:8" ht="69.75" customHeight="1">
      <c r="A83" s="103" t="s">
        <v>160</v>
      </c>
      <c r="B83" s="96" t="s">
        <v>219</v>
      </c>
      <c r="C83" s="97" t="s">
        <v>22</v>
      </c>
      <c r="D83" s="98">
        <f>370.6</f>
        <v>370.6</v>
      </c>
      <c r="E83" s="121">
        <v>290.77</v>
      </c>
      <c r="F83" s="20">
        <f t="shared" si="1"/>
        <v>107759</v>
      </c>
      <c r="G83" s="52" t="s">
        <v>220</v>
      </c>
      <c r="H83" s="87" t="s">
        <v>277</v>
      </c>
    </row>
    <row r="84" spans="1:8" ht="72.75" customHeight="1">
      <c r="A84" s="103" t="s">
        <v>162</v>
      </c>
      <c r="B84" s="96" t="s">
        <v>167</v>
      </c>
      <c r="C84" s="97" t="s">
        <v>22</v>
      </c>
      <c r="D84" s="98">
        <f>0.74</f>
        <v>0.74</v>
      </c>
      <c r="E84" s="94">
        <v>354.69</v>
      </c>
      <c r="F84" s="20">
        <f t="shared" si="1"/>
        <v>262</v>
      </c>
      <c r="G84" s="88" t="s">
        <v>143</v>
      </c>
      <c r="H84" s="89" t="s">
        <v>276</v>
      </c>
    </row>
    <row r="85" spans="1:8" ht="69.75" customHeight="1">
      <c r="A85" s="103" t="s">
        <v>164</v>
      </c>
      <c r="B85" s="96" t="s">
        <v>221</v>
      </c>
      <c r="C85" s="97" t="s">
        <v>22</v>
      </c>
      <c r="D85" s="98">
        <f>37.49</f>
        <v>37.49</v>
      </c>
      <c r="E85" s="94">
        <v>142.51</v>
      </c>
      <c r="F85" s="20">
        <f t="shared" si="1"/>
        <v>5343</v>
      </c>
      <c r="G85" s="69" t="s">
        <v>298</v>
      </c>
      <c r="H85" s="69" t="s">
        <v>276</v>
      </c>
    </row>
    <row r="86" spans="1:8" ht="75.95" customHeight="1">
      <c r="A86" s="103" t="s">
        <v>141</v>
      </c>
      <c r="B86" s="96" t="s">
        <v>222</v>
      </c>
      <c r="C86" s="97" t="s">
        <v>22</v>
      </c>
      <c r="D86" s="98">
        <f>189.53</f>
        <v>189.53</v>
      </c>
      <c r="E86" s="94">
        <v>354.69</v>
      </c>
      <c r="F86" s="20">
        <f t="shared" si="1"/>
        <v>67224</v>
      </c>
      <c r="G86" s="79" t="s">
        <v>149</v>
      </c>
      <c r="H86" s="32" t="s">
        <v>280</v>
      </c>
    </row>
    <row r="87" spans="1:8" ht="52.5" customHeight="1">
      <c r="A87" s="103" t="s">
        <v>144</v>
      </c>
      <c r="B87" s="96" t="s">
        <v>176</v>
      </c>
      <c r="C87" s="97" t="s">
        <v>90</v>
      </c>
      <c r="D87" s="98">
        <f>952</f>
        <v>952</v>
      </c>
      <c r="E87" s="121">
        <v>3.6</v>
      </c>
      <c r="F87" s="20">
        <f t="shared" si="1"/>
        <v>3427</v>
      </c>
      <c r="G87" s="104" t="s">
        <v>300</v>
      </c>
      <c r="H87" s="90" t="s">
        <v>223</v>
      </c>
    </row>
    <row r="88" spans="1:8" ht="75.95" customHeight="1">
      <c r="A88" s="91" t="s">
        <v>208</v>
      </c>
      <c r="B88" s="27" t="s">
        <v>205</v>
      </c>
      <c r="C88" s="28" t="s">
        <v>22</v>
      </c>
      <c r="D88" s="39">
        <f>672.95</f>
        <v>672.95</v>
      </c>
      <c r="E88" s="30">
        <v>7.194</v>
      </c>
      <c r="F88" s="20">
        <f t="shared" si="1"/>
        <v>4841</v>
      </c>
      <c r="G88" s="47" t="s">
        <v>76</v>
      </c>
      <c r="H88" s="48" t="s">
        <v>264</v>
      </c>
    </row>
    <row r="89" spans="1:8" ht="30" customHeight="1" thickBot="1">
      <c r="A89" s="127" t="s">
        <v>286</v>
      </c>
      <c r="B89" s="128"/>
      <c r="C89" s="128"/>
      <c r="D89" s="129"/>
      <c r="E89" s="4"/>
      <c r="F89" s="5">
        <f>SUM(F4:F88)</f>
        <v>12148267</v>
      </c>
      <c r="G89" s="6"/>
      <c r="H89" s="6"/>
    </row>
    <row r="90" spans="1:8" s="264" customFormat="1" ht="25.5" customHeight="1">
      <c r="A90" s="254" t="s">
        <v>287</v>
      </c>
      <c r="B90" s="253"/>
      <c r="C90" s="253"/>
      <c r="D90" s="253"/>
      <c r="E90" s="253"/>
      <c r="F90" s="253"/>
      <c r="G90" s="253"/>
      <c r="H90" s="252"/>
    </row>
    <row r="91" spans="1:8" s="264" customFormat="1" ht="25.5" customHeight="1">
      <c r="A91" s="263"/>
      <c r="B91" s="262"/>
      <c r="C91" s="262"/>
      <c r="D91" s="262"/>
      <c r="E91" s="262"/>
      <c r="F91" s="262"/>
      <c r="G91" s="262"/>
      <c r="H91" s="261"/>
    </row>
    <row r="92" spans="1:8" s="264" customFormat="1" ht="12">
      <c r="A92" s="260" t="s">
        <v>288</v>
      </c>
      <c r="B92" s="259"/>
      <c r="C92" s="259"/>
      <c r="D92" s="259"/>
      <c r="E92" s="259"/>
      <c r="F92" s="259"/>
      <c r="G92" s="259"/>
      <c r="H92" s="258"/>
    </row>
    <row r="93" spans="1:8" s="264" customFormat="1" ht="12">
      <c r="A93" s="257" t="s">
        <v>289</v>
      </c>
      <c r="B93" s="256"/>
      <c r="C93" s="256"/>
      <c r="D93" s="256"/>
      <c r="E93" s="256"/>
      <c r="F93" s="256"/>
      <c r="G93" s="256"/>
      <c r="H93" s="255"/>
    </row>
    <row r="94" spans="1:8" s="264" customFormat="1" ht="12">
      <c r="A94" s="257" t="s">
        <v>290</v>
      </c>
      <c r="B94" s="256"/>
      <c r="C94" s="256"/>
      <c r="D94" s="256"/>
      <c r="E94" s="256"/>
      <c r="F94" s="256"/>
      <c r="G94" s="256"/>
      <c r="H94" s="255"/>
    </row>
    <row r="95" spans="1:8" s="264" customFormat="1" ht="12">
      <c r="A95" s="257" t="s">
        <v>291</v>
      </c>
      <c r="B95" s="256"/>
      <c r="C95" s="256"/>
      <c r="D95" s="256"/>
      <c r="E95" s="256"/>
      <c r="F95" s="256"/>
      <c r="G95" s="256"/>
      <c r="H95" s="255"/>
    </row>
    <row r="96" spans="1:8" s="264" customFormat="1" ht="12.75" thickBot="1">
      <c r="A96" s="251" t="s">
        <v>292</v>
      </c>
      <c r="B96" s="250"/>
      <c r="C96" s="250"/>
      <c r="D96" s="250"/>
      <c r="E96" s="250"/>
      <c r="F96" s="250"/>
      <c r="G96" s="250"/>
      <c r="H96" s="249"/>
    </row>
  </sheetData>
  <sheetProtection password="C61B" sheet="1" objects="1" scenarios="1"/>
  <mergeCells count="11">
    <mergeCell ref="A96:H96"/>
    <mergeCell ref="A90:H91"/>
    <mergeCell ref="A92:H92"/>
    <mergeCell ref="A93:H93"/>
    <mergeCell ref="A94:H94"/>
    <mergeCell ref="A95:H95"/>
    <mergeCell ref="A1:H1"/>
    <mergeCell ref="A3:C3"/>
    <mergeCell ref="G12:G14"/>
    <mergeCell ref="H12:H14"/>
    <mergeCell ref="A89:D89"/>
  </mergeCells>
  <phoneticPr fontId="36" type="noConversion"/>
  <pageMargins left="0.98425196850393704" right="0.9055118110236221" top="0.9055118110236221" bottom="0.94488188976377963" header="0.19685039370078741" footer="0.72"/>
  <pageSetup paperSize="9" scale="75" orientation="landscape" r:id="rId1"/>
  <headerFooter>
    <oddFooter>&amp;L投标法定代表人或授权委托人（签字盖章）：&amp;C
&amp;R&amp;P/&amp;N</oddFooter>
  </headerFooter>
</worksheet>
</file>

<file path=xl/worksheets/sheet3.xml><?xml version="1.0" encoding="utf-8"?>
<worksheet xmlns="http://schemas.openxmlformats.org/spreadsheetml/2006/main" xmlns:r="http://schemas.openxmlformats.org/officeDocument/2006/relationships">
  <dimension ref="A1:H92"/>
  <sheetViews>
    <sheetView showGridLines="0" view="pageBreakPreview" zoomScale="96" zoomScaleNormal="100" zoomScaleSheetLayoutView="96" workbookViewId="0">
      <pane xSplit="6" ySplit="2" topLeftCell="G81" activePane="bottomRight" state="frozen"/>
      <selection pane="topRight"/>
      <selection pane="bottomLeft"/>
      <selection pane="bottomRight" activeCell="B96" sqref="B96"/>
    </sheetView>
  </sheetViews>
  <sheetFormatPr defaultColWidth="9" defaultRowHeight="12"/>
  <cols>
    <col min="1" max="1" width="7.875" style="106" customWidth="1"/>
    <col min="2" max="2" width="20.375" style="1" customWidth="1"/>
    <col min="3" max="3" width="5.125" style="1" customWidth="1"/>
    <col min="4" max="4" width="6.75" style="107" customWidth="1"/>
    <col min="5" max="6" width="10.875" style="1" customWidth="1"/>
    <col min="7" max="7" width="44.75" style="1" customWidth="1"/>
    <col min="8" max="8" width="61.75" style="1" customWidth="1"/>
    <col min="9" max="16384" width="9" style="1"/>
  </cols>
  <sheetData>
    <row r="1" spans="1:8" ht="21" thickBot="1">
      <c r="A1" s="248" t="s">
        <v>293</v>
      </c>
      <c r="B1" s="247"/>
      <c r="C1" s="247"/>
      <c r="D1" s="247"/>
      <c r="E1" s="247"/>
      <c r="F1" s="247"/>
      <c r="G1" s="247"/>
      <c r="H1" s="247"/>
    </row>
    <row r="2" spans="1:8" ht="27" customHeight="1">
      <c r="A2" s="8" t="s">
        <v>0</v>
      </c>
      <c r="B2" s="9" t="s">
        <v>1</v>
      </c>
      <c r="C2" s="9" t="s">
        <v>2</v>
      </c>
      <c r="D2" s="9" t="s">
        <v>3</v>
      </c>
      <c r="E2" s="10" t="s">
        <v>283</v>
      </c>
      <c r="F2" s="9" t="s">
        <v>4</v>
      </c>
      <c r="G2" s="9" t="s">
        <v>5</v>
      </c>
      <c r="H2" s="153" t="s">
        <v>6</v>
      </c>
    </row>
    <row r="3" spans="1:8" ht="24" customHeight="1">
      <c r="A3" s="246" t="s">
        <v>7</v>
      </c>
      <c r="B3" s="135"/>
      <c r="C3" s="135"/>
      <c r="D3" s="245"/>
      <c r="E3" s="244"/>
      <c r="F3" s="243"/>
      <c r="G3" s="242"/>
      <c r="H3" s="241"/>
    </row>
    <row r="4" spans="1:8" ht="188.25" customHeight="1">
      <c r="A4" s="240" t="s">
        <v>8</v>
      </c>
      <c r="B4" s="239" t="s">
        <v>9</v>
      </c>
      <c r="C4" s="239" t="s">
        <v>10</v>
      </c>
      <c r="D4" s="238">
        <v>1</v>
      </c>
      <c r="E4" s="237">
        <v>552655</v>
      </c>
      <c r="F4" s="144">
        <f>D4*E4</f>
        <v>552655</v>
      </c>
      <c r="G4" s="236" t="s">
        <v>11</v>
      </c>
      <c r="H4" s="235" t="s">
        <v>12</v>
      </c>
    </row>
    <row r="5" spans="1:8" ht="114.75" customHeight="1">
      <c r="A5" s="234" t="s">
        <v>13</v>
      </c>
      <c r="B5" s="143" t="s">
        <v>14</v>
      </c>
      <c r="C5" s="143" t="s">
        <v>15</v>
      </c>
      <c r="D5" s="143">
        <v>1</v>
      </c>
      <c r="E5" s="233">
        <v>297092</v>
      </c>
      <c r="F5" s="143">
        <f>E5*D5</f>
        <v>297092</v>
      </c>
      <c r="G5" s="232" t="s">
        <v>16</v>
      </c>
      <c r="H5" s="235" t="s">
        <v>17</v>
      </c>
    </row>
    <row r="6" spans="1:8" ht="20.100000000000001" customHeight="1">
      <c r="A6" s="231" t="s">
        <v>18</v>
      </c>
      <c r="B6" s="230" t="s">
        <v>19</v>
      </c>
      <c r="C6" s="142"/>
      <c r="D6" s="142"/>
      <c r="E6" s="143"/>
      <c r="F6" s="143"/>
      <c r="G6" s="229"/>
      <c r="H6" s="228"/>
    </row>
    <row r="7" spans="1:8" ht="96.95" customHeight="1">
      <c r="A7" s="231" t="s">
        <v>20</v>
      </c>
      <c r="B7" s="230" t="s">
        <v>21</v>
      </c>
      <c r="C7" s="142" t="s">
        <v>22</v>
      </c>
      <c r="D7" s="142">
        <f>32131.515</f>
        <v>32131.514999999999</v>
      </c>
      <c r="E7" s="227">
        <v>11.35</v>
      </c>
      <c r="F7" s="226">
        <f>E7*D7</f>
        <v>364692.69524999999</v>
      </c>
      <c r="G7" s="141" t="s">
        <v>23</v>
      </c>
      <c r="H7" s="225" t="s">
        <v>282</v>
      </c>
    </row>
    <row r="8" spans="1:8" ht="46.5" customHeight="1">
      <c r="A8" s="224" t="s">
        <v>224</v>
      </c>
      <c r="B8" s="230" t="s">
        <v>25</v>
      </c>
      <c r="C8" s="142" t="s">
        <v>26</v>
      </c>
      <c r="D8" s="142">
        <v>3486</v>
      </c>
      <c r="E8" s="227">
        <v>6.71</v>
      </c>
      <c r="F8" s="226">
        <f>E8*D8</f>
        <v>23391.06</v>
      </c>
      <c r="G8" s="232" t="s">
        <v>27</v>
      </c>
      <c r="H8" s="235" t="s">
        <v>28</v>
      </c>
    </row>
    <row r="9" spans="1:8" ht="18.95" customHeight="1">
      <c r="A9" s="231" t="s">
        <v>29</v>
      </c>
      <c r="B9" s="230" t="s">
        <v>30</v>
      </c>
      <c r="C9" s="142"/>
      <c r="D9" s="142"/>
      <c r="E9" s="227"/>
      <c r="F9" s="226"/>
      <c r="G9" s="232"/>
      <c r="H9" s="235"/>
    </row>
    <row r="10" spans="1:8">
      <c r="A10" s="231" t="s">
        <v>20</v>
      </c>
      <c r="B10" s="230" t="s">
        <v>56</v>
      </c>
      <c r="C10" s="142"/>
      <c r="D10" s="142"/>
      <c r="E10" s="227"/>
      <c r="F10" s="226"/>
      <c r="G10" s="232"/>
      <c r="H10" s="235"/>
    </row>
    <row r="11" spans="1:8" ht="110.25" customHeight="1">
      <c r="A11" s="231" t="s">
        <v>36</v>
      </c>
      <c r="B11" s="230" t="s">
        <v>56</v>
      </c>
      <c r="C11" s="142" t="s">
        <v>22</v>
      </c>
      <c r="D11" s="142">
        <f>88646.5+2418+1852.3</f>
        <v>92916.800000000003</v>
      </c>
      <c r="E11" s="227">
        <v>6.59</v>
      </c>
      <c r="F11" s="226">
        <f>E11*D11</f>
        <v>612321.71200000006</v>
      </c>
      <c r="G11" s="232" t="s">
        <v>32</v>
      </c>
      <c r="H11" s="235" t="s">
        <v>33</v>
      </c>
    </row>
    <row r="12" spans="1:8" ht="18" customHeight="1">
      <c r="A12" s="231" t="s">
        <v>34</v>
      </c>
      <c r="B12" s="230" t="s">
        <v>35</v>
      </c>
      <c r="C12" s="142"/>
      <c r="D12" s="142"/>
      <c r="E12" s="227"/>
      <c r="F12" s="226"/>
      <c r="G12" s="232"/>
      <c r="H12" s="235"/>
    </row>
    <row r="13" spans="1:8" ht="54.75" customHeight="1">
      <c r="A13" s="231" t="s">
        <v>36</v>
      </c>
      <c r="B13" s="230" t="s">
        <v>37</v>
      </c>
      <c r="C13" s="142" t="s">
        <v>22</v>
      </c>
      <c r="D13" s="142">
        <v>25678.3</v>
      </c>
      <c r="E13" s="227">
        <v>8.74</v>
      </c>
      <c r="F13" s="226">
        <f>E13*D13</f>
        <v>224428.342</v>
      </c>
      <c r="G13" s="223" t="s">
        <v>225</v>
      </c>
      <c r="H13" s="137" t="s">
        <v>226</v>
      </c>
    </row>
    <row r="14" spans="1:8" ht="54.75" customHeight="1">
      <c r="A14" s="231" t="s">
        <v>40</v>
      </c>
      <c r="B14" s="230" t="s">
        <v>227</v>
      </c>
      <c r="C14" s="142" t="s">
        <v>22</v>
      </c>
      <c r="D14" s="142">
        <v>28057.8</v>
      </c>
      <c r="E14" s="227">
        <v>29.53</v>
      </c>
      <c r="F14" s="226">
        <f>E14*D14</f>
        <v>828546.83400000003</v>
      </c>
      <c r="G14" s="223"/>
      <c r="H14" s="137"/>
    </row>
    <row r="15" spans="1:8" ht="92.25" customHeight="1">
      <c r="A15" s="231" t="s">
        <v>24</v>
      </c>
      <c r="B15" s="230" t="s">
        <v>44</v>
      </c>
      <c r="C15" s="142" t="s">
        <v>22</v>
      </c>
      <c r="D15" s="142">
        <v>13128</v>
      </c>
      <c r="E15" s="227">
        <v>10.38</v>
      </c>
      <c r="F15" s="226">
        <f>E15*D15</f>
        <v>136268.64000000001</v>
      </c>
      <c r="G15" s="141" t="s">
        <v>45</v>
      </c>
      <c r="H15" s="225" t="s">
        <v>284</v>
      </c>
    </row>
    <row r="16" spans="1:8" ht="85.5" customHeight="1">
      <c r="A16" s="231" t="s">
        <v>228</v>
      </c>
      <c r="B16" s="230" t="s">
        <v>47</v>
      </c>
      <c r="C16" s="142" t="s">
        <v>22</v>
      </c>
      <c r="D16" s="142">
        <v>2350.3000000000002</v>
      </c>
      <c r="E16" s="227">
        <v>28.03</v>
      </c>
      <c r="F16" s="226">
        <f>E16*D16</f>
        <v>65878.909000000014</v>
      </c>
      <c r="G16" s="140" t="s">
        <v>48</v>
      </c>
      <c r="H16" s="222" t="s">
        <v>49</v>
      </c>
    </row>
    <row r="17" spans="1:8" ht="81.75" customHeight="1">
      <c r="A17" s="231" t="s">
        <v>50</v>
      </c>
      <c r="B17" s="230" t="s">
        <v>51</v>
      </c>
      <c r="C17" s="142" t="s">
        <v>22</v>
      </c>
      <c r="D17" s="142">
        <v>11768</v>
      </c>
      <c r="E17" s="227">
        <v>3.13</v>
      </c>
      <c r="F17" s="226">
        <f>E17*D17</f>
        <v>36833.839999999997</v>
      </c>
      <c r="G17" s="221" t="s">
        <v>52</v>
      </c>
      <c r="H17" s="220" t="s">
        <v>53</v>
      </c>
    </row>
    <row r="18" spans="1:8" ht="42" customHeight="1">
      <c r="A18" s="231" t="s">
        <v>61</v>
      </c>
      <c r="B18" s="230" t="s">
        <v>62</v>
      </c>
      <c r="C18" s="142"/>
      <c r="D18" s="142"/>
      <c r="E18" s="227"/>
      <c r="F18" s="226"/>
      <c r="G18" s="232"/>
      <c r="H18" s="235"/>
    </row>
    <row r="19" spans="1:8" ht="27" customHeight="1">
      <c r="A19" s="231" t="s">
        <v>20</v>
      </c>
      <c r="B19" s="230" t="s">
        <v>229</v>
      </c>
      <c r="C19" s="142"/>
      <c r="D19" s="142"/>
      <c r="E19" s="227"/>
      <c r="F19" s="226"/>
      <c r="G19" s="232"/>
      <c r="H19" s="235"/>
    </row>
    <row r="20" spans="1:8" ht="90.95" customHeight="1">
      <c r="A20" s="219" t="s">
        <v>20</v>
      </c>
      <c r="B20" s="230" t="s">
        <v>230</v>
      </c>
      <c r="C20" s="218" t="s">
        <v>22</v>
      </c>
      <c r="D20" s="217">
        <f>67188</f>
        <v>67188</v>
      </c>
      <c r="E20" s="227">
        <v>14.1</v>
      </c>
      <c r="F20" s="226">
        <f t="shared" ref="F20:F25" si="0">E20*D20</f>
        <v>947350.79999999993</v>
      </c>
      <c r="G20" s="232" t="s">
        <v>64</v>
      </c>
      <c r="H20" s="216" t="s">
        <v>271</v>
      </c>
    </row>
    <row r="21" spans="1:8" ht="174" customHeight="1">
      <c r="A21" s="231" t="s">
        <v>24</v>
      </c>
      <c r="B21" s="230" t="s">
        <v>65</v>
      </c>
      <c r="C21" s="142" t="s">
        <v>22</v>
      </c>
      <c r="D21" s="217">
        <f>91064.5+1852.3</f>
        <v>92916.800000000003</v>
      </c>
      <c r="E21" s="227">
        <v>3.63</v>
      </c>
      <c r="F21" s="226">
        <f t="shared" si="0"/>
        <v>337287.984</v>
      </c>
      <c r="G21" s="215" t="s">
        <v>231</v>
      </c>
      <c r="H21" s="214" t="s">
        <v>232</v>
      </c>
    </row>
    <row r="22" spans="1:8" ht="160.5" customHeight="1">
      <c r="A22" s="231" t="s">
        <v>24</v>
      </c>
      <c r="B22" s="230" t="s">
        <v>68</v>
      </c>
      <c r="C22" s="142" t="s">
        <v>22</v>
      </c>
      <c r="D22" s="142">
        <v>53736.1</v>
      </c>
      <c r="E22" s="227">
        <v>4.74</v>
      </c>
      <c r="F22" s="226">
        <f t="shared" si="0"/>
        <v>254709.114</v>
      </c>
      <c r="G22" s="213" t="s">
        <v>233</v>
      </c>
      <c r="H22" s="214" t="s">
        <v>234</v>
      </c>
    </row>
    <row r="23" spans="1:8" ht="168.75" customHeight="1">
      <c r="A23" s="231" t="s">
        <v>235</v>
      </c>
      <c r="B23" s="230" t="s">
        <v>71</v>
      </c>
      <c r="C23" s="142" t="s">
        <v>22</v>
      </c>
      <c r="D23" s="212">
        <f>52533.22-382.3</f>
        <v>52150.92</v>
      </c>
      <c r="E23" s="227">
        <v>10.46</v>
      </c>
      <c r="F23" s="226">
        <f t="shared" si="0"/>
        <v>545498.62320000003</v>
      </c>
      <c r="G23" s="211" t="s">
        <v>72</v>
      </c>
      <c r="H23" s="210" t="s">
        <v>73</v>
      </c>
    </row>
    <row r="24" spans="1:8" ht="76.5" customHeight="1">
      <c r="A24" s="231" t="s">
        <v>74</v>
      </c>
      <c r="B24" s="230" t="s">
        <v>75</v>
      </c>
      <c r="C24" s="142" t="s">
        <v>22</v>
      </c>
      <c r="D24" s="217">
        <f>2810*3</f>
        <v>8430</v>
      </c>
      <c r="E24" s="227">
        <v>7.19</v>
      </c>
      <c r="F24" s="226">
        <f t="shared" si="0"/>
        <v>60611.700000000004</v>
      </c>
      <c r="G24" s="209" t="s">
        <v>76</v>
      </c>
      <c r="H24" s="208" t="s">
        <v>264</v>
      </c>
    </row>
    <row r="25" spans="1:8" ht="83.25" customHeight="1">
      <c r="A25" s="231" t="s">
        <v>78</v>
      </c>
      <c r="B25" s="230" t="s">
        <v>79</v>
      </c>
      <c r="C25" s="142" t="s">
        <v>22</v>
      </c>
      <c r="D25" s="142">
        <f>550*3</f>
        <v>1650</v>
      </c>
      <c r="E25" s="227">
        <v>13.63</v>
      </c>
      <c r="F25" s="226">
        <f t="shared" si="0"/>
        <v>22489.5</v>
      </c>
      <c r="G25" s="229" t="s">
        <v>80</v>
      </c>
      <c r="H25" s="208" t="s">
        <v>236</v>
      </c>
    </row>
    <row r="26" spans="1:8" ht="24.95" customHeight="1">
      <c r="A26" s="231" t="s">
        <v>86</v>
      </c>
      <c r="B26" s="230" t="s">
        <v>87</v>
      </c>
      <c r="C26" s="142"/>
      <c r="D26" s="142"/>
      <c r="E26" s="227"/>
      <c r="F26" s="226"/>
      <c r="G26" s="232"/>
      <c r="H26" s="235"/>
    </row>
    <row r="27" spans="1:8" ht="24.95" customHeight="1">
      <c r="A27" s="231" t="s">
        <v>34</v>
      </c>
      <c r="B27" s="230" t="s">
        <v>88</v>
      </c>
      <c r="C27" s="142"/>
      <c r="D27" s="142"/>
      <c r="E27" s="227"/>
      <c r="F27" s="226"/>
      <c r="G27" s="232"/>
      <c r="H27" s="235"/>
    </row>
    <row r="28" spans="1:8" ht="92.1" customHeight="1">
      <c r="A28" s="231" t="s">
        <v>36</v>
      </c>
      <c r="B28" s="230" t="s">
        <v>89</v>
      </c>
      <c r="C28" s="142" t="s">
        <v>90</v>
      </c>
      <c r="D28" s="142">
        <v>2400</v>
      </c>
      <c r="E28" s="227">
        <v>1</v>
      </c>
      <c r="F28" s="226">
        <f>E28*D28</f>
        <v>2400</v>
      </c>
      <c r="G28" s="207" t="s">
        <v>91</v>
      </c>
      <c r="H28" s="206" t="s">
        <v>92</v>
      </c>
    </row>
    <row r="29" spans="1:8" ht="100.5" customHeight="1">
      <c r="A29" s="231" t="s">
        <v>40</v>
      </c>
      <c r="B29" s="212" t="s">
        <v>93</v>
      </c>
      <c r="C29" s="142" t="s">
        <v>90</v>
      </c>
      <c r="D29" s="142">
        <v>61857</v>
      </c>
      <c r="E29" s="227">
        <v>1</v>
      </c>
      <c r="F29" s="226">
        <f>E29*D29</f>
        <v>61857</v>
      </c>
      <c r="G29" s="207" t="s">
        <v>94</v>
      </c>
      <c r="H29" s="206" t="s">
        <v>95</v>
      </c>
    </row>
    <row r="30" spans="1:8" ht="27.95" customHeight="1">
      <c r="A30" s="231" t="s">
        <v>97</v>
      </c>
      <c r="B30" s="230" t="s">
        <v>98</v>
      </c>
      <c r="C30" s="142"/>
      <c r="D30" s="142"/>
      <c r="E30" s="227"/>
      <c r="F30" s="226"/>
      <c r="G30" s="232"/>
      <c r="H30" s="235"/>
    </row>
    <row r="31" spans="1:8" ht="78" customHeight="1">
      <c r="A31" s="231" t="s">
        <v>24</v>
      </c>
      <c r="B31" s="230" t="s">
        <v>102</v>
      </c>
      <c r="C31" s="142" t="s">
        <v>100</v>
      </c>
      <c r="D31" s="142">
        <v>7247</v>
      </c>
      <c r="E31" s="227">
        <v>261.49</v>
      </c>
      <c r="F31" s="226">
        <f>E31*D31</f>
        <v>1895018.03</v>
      </c>
      <c r="G31" s="232" t="s">
        <v>101</v>
      </c>
      <c r="H31" s="208" t="s">
        <v>260</v>
      </c>
    </row>
    <row r="32" spans="1:8" ht="27" customHeight="1">
      <c r="A32" s="205" t="s">
        <v>103</v>
      </c>
      <c r="B32" s="204" t="s">
        <v>104</v>
      </c>
      <c r="C32" s="203"/>
      <c r="D32" s="204"/>
      <c r="E32" s="227"/>
      <c r="F32" s="226"/>
      <c r="G32" s="140"/>
      <c r="H32" s="222"/>
    </row>
    <row r="33" spans="1:8" ht="90.75" customHeight="1">
      <c r="A33" s="205" t="s">
        <v>20</v>
      </c>
      <c r="B33" s="204" t="s">
        <v>188</v>
      </c>
      <c r="C33" s="204" t="s">
        <v>100</v>
      </c>
      <c r="D33" s="204">
        <v>290</v>
      </c>
      <c r="E33" s="227">
        <v>346.22</v>
      </c>
      <c r="F33" s="226">
        <f>E33*D33</f>
        <v>100403.8</v>
      </c>
      <c r="G33" s="202" t="s">
        <v>256</v>
      </c>
      <c r="H33" s="208" t="s">
        <v>257</v>
      </c>
    </row>
    <row r="34" spans="1:8" ht="30" customHeight="1">
      <c r="A34" s="205" t="s">
        <v>105</v>
      </c>
      <c r="B34" s="204" t="s">
        <v>106</v>
      </c>
      <c r="C34" s="204"/>
      <c r="D34" s="204"/>
      <c r="E34" s="227"/>
      <c r="F34" s="226"/>
      <c r="G34" s="140"/>
      <c r="H34" s="222"/>
    </row>
    <row r="35" spans="1:8" ht="78.75" customHeight="1">
      <c r="A35" s="205" t="s">
        <v>20</v>
      </c>
      <c r="B35" s="204" t="s">
        <v>237</v>
      </c>
      <c r="C35" s="204" t="s">
        <v>100</v>
      </c>
      <c r="D35" s="204">
        <v>67</v>
      </c>
      <c r="E35" s="227">
        <v>544.52</v>
      </c>
      <c r="F35" s="226">
        <f t="shared" ref="F35:F38" si="1">E35*D35</f>
        <v>36482.839999999997</v>
      </c>
      <c r="G35" s="202" t="s">
        <v>256</v>
      </c>
      <c r="H35" s="208" t="s">
        <v>262</v>
      </c>
    </row>
    <row r="36" spans="1:8" ht="32.1" customHeight="1">
      <c r="A36" s="205" t="s">
        <v>108</v>
      </c>
      <c r="B36" s="204" t="s">
        <v>109</v>
      </c>
      <c r="C36" s="204"/>
      <c r="D36" s="204"/>
      <c r="E36" s="227"/>
      <c r="F36" s="226"/>
      <c r="G36" s="140"/>
      <c r="H36" s="222"/>
    </row>
    <row r="37" spans="1:8" ht="78" customHeight="1">
      <c r="A37" s="205" t="s">
        <v>20</v>
      </c>
      <c r="B37" s="204" t="s">
        <v>238</v>
      </c>
      <c r="C37" s="204" t="s">
        <v>100</v>
      </c>
      <c r="D37" s="204">
        <v>70</v>
      </c>
      <c r="E37" s="227">
        <v>103.18</v>
      </c>
      <c r="F37" s="226">
        <f t="shared" si="1"/>
        <v>7222.6</v>
      </c>
      <c r="G37" s="140" t="s">
        <v>111</v>
      </c>
      <c r="H37" s="208" t="s">
        <v>274</v>
      </c>
    </row>
    <row r="38" spans="1:8" ht="83.25" customHeight="1">
      <c r="A38" s="205" t="s">
        <v>24</v>
      </c>
      <c r="B38" s="204" t="s">
        <v>112</v>
      </c>
      <c r="C38" s="204" t="s">
        <v>100</v>
      </c>
      <c r="D38" s="204">
        <v>70</v>
      </c>
      <c r="E38" s="227">
        <v>146.87</v>
      </c>
      <c r="F38" s="226">
        <f t="shared" si="1"/>
        <v>10280.9</v>
      </c>
      <c r="G38" s="140" t="s">
        <v>113</v>
      </c>
      <c r="H38" s="222" t="s">
        <v>114</v>
      </c>
    </row>
    <row r="39" spans="1:8" ht="29.1" customHeight="1">
      <c r="A39" s="201" t="s">
        <v>115</v>
      </c>
      <c r="B39" s="152" t="s">
        <v>116</v>
      </c>
      <c r="C39" s="152"/>
      <c r="D39" s="152"/>
      <c r="E39" s="227"/>
      <c r="F39" s="226"/>
      <c r="G39" s="200"/>
      <c r="H39" s="216"/>
    </row>
    <row r="40" spans="1:8" ht="83.1" customHeight="1">
      <c r="A40" s="201" t="s">
        <v>20</v>
      </c>
      <c r="B40" s="152" t="s">
        <v>117</v>
      </c>
      <c r="C40" s="152" t="s">
        <v>22</v>
      </c>
      <c r="D40" s="152">
        <v>425.2</v>
      </c>
      <c r="E40" s="227">
        <v>345.41</v>
      </c>
      <c r="F40" s="226">
        <f>D40*E40</f>
        <v>146868.33199999999</v>
      </c>
      <c r="G40" s="200" t="s">
        <v>119</v>
      </c>
      <c r="H40" s="216" t="s">
        <v>253</v>
      </c>
    </row>
    <row r="41" spans="1:8" ht="102.95" customHeight="1">
      <c r="A41" s="201" t="s">
        <v>34</v>
      </c>
      <c r="B41" s="152" t="s">
        <v>190</v>
      </c>
      <c r="C41" s="152" t="s">
        <v>22</v>
      </c>
      <c r="D41" s="152">
        <v>5048.8</v>
      </c>
      <c r="E41" s="227">
        <v>372.87</v>
      </c>
      <c r="F41" s="226">
        <f>E41*D41</f>
        <v>1882546.0560000001</v>
      </c>
      <c r="G41" s="200" t="s">
        <v>119</v>
      </c>
      <c r="H41" s="216" t="s">
        <v>120</v>
      </c>
    </row>
    <row r="42" spans="1:8" ht="78" customHeight="1">
      <c r="A42" s="201" t="s">
        <v>24</v>
      </c>
      <c r="B42" s="152" t="s">
        <v>121</v>
      </c>
      <c r="C42" s="152" t="s">
        <v>22</v>
      </c>
      <c r="D42" s="152">
        <v>441.9</v>
      </c>
      <c r="E42" s="227">
        <v>549.66</v>
      </c>
      <c r="F42" s="226">
        <f t="shared" ref="F42:F47" si="2">E42*D42</f>
        <v>242894.75399999999</v>
      </c>
      <c r="G42" s="200" t="s">
        <v>122</v>
      </c>
      <c r="H42" s="216" t="s">
        <v>123</v>
      </c>
    </row>
    <row r="43" spans="1:8" ht="32.1" customHeight="1">
      <c r="A43" s="199" t="s">
        <v>124</v>
      </c>
      <c r="B43" s="198" t="s">
        <v>239</v>
      </c>
      <c r="C43" s="197"/>
      <c r="D43" s="212"/>
      <c r="E43" s="227"/>
      <c r="F43" s="226"/>
      <c r="G43" s="232"/>
      <c r="H43" s="235"/>
    </row>
    <row r="44" spans="1:8" ht="32.1" customHeight="1">
      <c r="A44" s="199" t="s">
        <v>20</v>
      </c>
      <c r="B44" s="198" t="s">
        <v>126</v>
      </c>
      <c r="C44" s="197"/>
      <c r="D44" s="212"/>
      <c r="E44" s="227"/>
      <c r="F44" s="226"/>
      <c r="G44" s="229"/>
      <c r="H44" s="138"/>
    </row>
    <row r="45" spans="1:8" ht="87" customHeight="1">
      <c r="A45" s="199" t="s">
        <v>127</v>
      </c>
      <c r="B45" s="198" t="s">
        <v>191</v>
      </c>
      <c r="C45" s="197" t="s">
        <v>22</v>
      </c>
      <c r="D45" s="212">
        <v>3004</v>
      </c>
      <c r="E45" s="227">
        <v>14.939539999999999</v>
      </c>
      <c r="F45" s="226">
        <f t="shared" si="2"/>
        <v>44878.37816</v>
      </c>
      <c r="G45" s="196" t="s">
        <v>129</v>
      </c>
      <c r="H45" s="195" t="s">
        <v>130</v>
      </c>
    </row>
    <row r="46" spans="1:8" ht="30.95" customHeight="1">
      <c r="A46" s="199" t="s">
        <v>131</v>
      </c>
      <c r="B46" s="198" t="s">
        <v>194</v>
      </c>
      <c r="C46" s="197"/>
      <c r="D46" s="212"/>
      <c r="E46" s="227"/>
      <c r="F46" s="226"/>
      <c r="G46" s="196"/>
      <c r="H46" s="195"/>
    </row>
    <row r="47" spans="1:8" ht="80.099999999999994" customHeight="1">
      <c r="A47" s="199" t="s">
        <v>36</v>
      </c>
      <c r="B47" s="194" t="s">
        <v>195</v>
      </c>
      <c r="C47" s="197" t="s">
        <v>100</v>
      </c>
      <c r="D47" s="212">
        <v>63</v>
      </c>
      <c r="E47" s="227">
        <v>72.853757900000005</v>
      </c>
      <c r="F47" s="226">
        <f t="shared" si="2"/>
        <v>4589.7867477</v>
      </c>
      <c r="G47" s="193" t="s">
        <v>133</v>
      </c>
      <c r="H47" s="192" t="s">
        <v>134</v>
      </c>
    </row>
    <row r="48" spans="1:8" ht="78.75" customHeight="1">
      <c r="A48" s="199" t="s">
        <v>40</v>
      </c>
      <c r="B48" s="194" t="s">
        <v>196</v>
      </c>
      <c r="C48" s="197" t="s">
        <v>100</v>
      </c>
      <c r="D48" s="212">
        <v>462.5</v>
      </c>
      <c r="E48" s="227">
        <v>100.3232076</v>
      </c>
      <c r="F48" s="226">
        <f t="shared" ref="F48:F54" si="3">E48*D48</f>
        <v>46399.483515</v>
      </c>
      <c r="G48" s="193" t="s">
        <v>133</v>
      </c>
      <c r="H48" s="192" t="s">
        <v>134</v>
      </c>
    </row>
    <row r="49" spans="1:8" ht="69.95" customHeight="1">
      <c r="A49" s="199" t="s">
        <v>135</v>
      </c>
      <c r="B49" s="198" t="s">
        <v>136</v>
      </c>
      <c r="C49" s="197" t="s">
        <v>22</v>
      </c>
      <c r="D49" s="212">
        <v>303.98</v>
      </c>
      <c r="E49" s="227">
        <v>166.10946000000001</v>
      </c>
      <c r="F49" s="226">
        <f t="shared" si="3"/>
        <v>50493.953650800009</v>
      </c>
      <c r="G49" s="134" t="s">
        <v>137</v>
      </c>
      <c r="H49" s="191" t="s">
        <v>285</v>
      </c>
    </row>
    <row r="50" spans="1:8" ht="72.75" customHeight="1">
      <c r="A50" s="199" t="s">
        <v>197</v>
      </c>
      <c r="B50" s="194" t="s">
        <v>139</v>
      </c>
      <c r="C50" s="197" t="s">
        <v>22</v>
      </c>
      <c r="D50" s="212">
        <v>644.92999999999995</v>
      </c>
      <c r="E50" s="227">
        <v>142.51313999999999</v>
      </c>
      <c r="F50" s="226">
        <f t="shared" si="3"/>
        <v>91910.999380199995</v>
      </c>
      <c r="G50" s="139" t="s">
        <v>140</v>
      </c>
      <c r="H50" s="190" t="s">
        <v>275</v>
      </c>
    </row>
    <row r="51" spans="1:8" ht="66.75" customHeight="1">
      <c r="A51" s="199" t="s">
        <v>138</v>
      </c>
      <c r="B51" s="198" t="s">
        <v>198</v>
      </c>
      <c r="C51" s="197" t="s">
        <v>22</v>
      </c>
      <c r="D51" s="265">
        <v>13.33</v>
      </c>
      <c r="E51" s="227">
        <v>142.51313999999999</v>
      </c>
      <c r="F51" s="226">
        <f t="shared" si="3"/>
        <v>1899.7001561999998</v>
      </c>
      <c r="G51" s="139" t="s">
        <v>140</v>
      </c>
      <c r="H51" s="190" t="s">
        <v>276</v>
      </c>
    </row>
    <row r="52" spans="1:8" ht="66" customHeight="1">
      <c r="A52" s="199" t="s">
        <v>160</v>
      </c>
      <c r="B52" s="194" t="s">
        <v>199</v>
      </c>
      <c r="C52" s="197" t="s">
        <v>22</v>
      </c>
      <c r="D52" s="265">
        <v>34.19</v>
      </c>
      <c r="E52" s="227">
        <v>354.68817999999999</v>
      </c>
      <c r="F52" s="226">
        <f t="shared" si="3"/>
        <v>12126.7888742</v>
      </c>
      <c r="G52" s="189" t="s">
        <v>200</v>
      </c>
      <c r="H52" s="188" t="s">
        <v>277</v>
      </c>
    </row>
    <row r="53" spans="1:8" ht="67.5" customHeight="1">
      <c r="A53" s="199" t="s">
        <v>162</v>
      </c>
      <c r="B53" s="187" t="s">
        <v>201</v>
      </c>
      <c r="C53" s="197" t="s">
        <v>22</v>
      </c>
      <c r="D53" s="265">
        <v>112.1</v>
      </c>
      <c r="E53" s="227">
        <v>321.71568000000002</v>
      </c>
      <c r="F53" s="226">
        <f t="shared" si="3"/>
        <v>36064.327728000004</v>
      </c>
      <c r="G53" s="189" t="s">
        <v>202</v>
      </c>
      <c r="H53" s="188" t="s">
        <v>277</v>
      </c>
    </row>
    <row r="54" spans="1:8" ht="103.5" customHeight="1">
      <c r="A54" s="199" t="s">
        <v>164</v>
      </c>
      <c r="B54" s="198" t="s">
        <v>203</v>
      </c>
      <c r="C54" s="197" t="s">
        <v>157</v>
      </c>
      <c r="D54" s="265">
        <v>3462.6</v>
      </c>
      <c r="E54" s="227">
        <v>0.86328000000000005</v>
      </c>
      <c r="F54" s="226">
        <f t="shared" si="3"/>
        <v>2989.1933280000003</v>
      </c>
      <c r="G54" s="196" t="s">
        <v>158</v>
      </c>
      <c r="H54" s="186" t="s">
        <v>204</v>
      </c>
    </row>
    <row r="55" spans="1:8" ht="72" customHeight="1">
      <c r="A55" s="199" t="s">
        <v>141</v>
      </c>
      <c r="B55" s="194" t="s">
        <v>142</v>
      </c>
      <c r="C55" s="197" t="s">
        <v>22</v>
      </c>
      <c r="D55" s="212">
        <v>3.86</v>
      </c>
      <c r="E55" s="227">
        <v>354.69</v>
      </c>
      <c r="F55" s="226">
        <f t="shared" ref="F55:F58" si="4">E55*D55</f>
        <v>1369.1034</v>
      </c>
      <c r="G55" s="185" t="s">
        <v>143</v>
      </c>
      <c r="H55" s="184" t="s">
        <v>275</v>
      </c>
    </row>
    <row r="56" spans="1:8" ht="72" customHeight="1">
      <c r="A56" s="183" t="s">
        <v>144</v>
      </c>
      <c r="B56" s="152" t="s">
        <v>173</v>
      </c>
      <c r="C56" s="182" t="s">
        <v>22</v>
      </c>
      <c r="D56" s="181">
        <v>122.77</v>
      </c>
      <c r="E56" s="227">
        <v>142.51</v>
      </c>
      <c r="F56" s="226">
        <f t="shared" si="4"/>
        <v>17495.952699999998</v>
      </c>
      <c r="G56" s="139" t="s">
        <v>146</v>
      </c>
      <c r="H56" s="190" t="s">
        <v>275</v>
      </c>
    </row>
    <row r="57" spans="1:8" ht="82.5" customHeight="1">
      <c r="A57" s="183" t="s">
        <v>147</v>
      </c>
      <c r="B57" s="152" t="s">
        <v>175</v>
      </c>
      <c r="C57" s="182" t="s">
        <v>22</v>
      </c>
      <c r="D57" s="181">
        <v>139.93</v>
      </c>
      <c r="E57" s="227">
        <v>354.69</v>
      </c>
      <c r="F57" s="226">
        <f t="shared" si="4"/>
        <v>49631.771700000005</v>
      </c>
      <c r="G57" s="180" t="s">
        <v>149</v>
      </c>
      <c r="H57" s="225" t="s">
        <v>278</v>
      </c>
    </row>
    <row r="58" spans="1:8" ht="81.95" customHeight="1">
      <c r="A58" s="183" t="s">
        <v>172</v>
      </c>
      <c r="B58" s="230" t="s">
        <v>205</v>
      </c>
      <c r="C58" s="142" t="s">
        <v>22</v>
      </c>
      <c r="D58" s="217">
        <v>1692.14</v>
      </c>
      <c r="E58" s="227">
        <v>7.19</v>
      </c>
      <c r="F58" s="226">
        <f t="shared" si="4"/>
        <v>12166.486600000002</v>
      </c>
      <c r="G58" s="209" t="s">
        <v>76</v>
      </c>
      <c r="H58" s="208" t="s">
        <v>264</v>
      </c>
    </row>
    <row r="59" spans="1:8" ht="32.25" customHeight="1">
      <c r="A59" s="199" t="s">
        <v>150</v>
      </c>
      <c r="B59" s="179" t="s">
        <v>240</v>
      </c>
      <c r="C59" s="197"/>
      <c r="D59" s="212"/>
      <c r="E59" s="227"/>
      <c r="F59" s="226"/>
      <c r="G59" s="232"/>
      <c r="H59" s="138"/>
    </row>
    <row r="60" spans="1:8" ht="94.5" customHeight="1">
      <c r="A60" s="183" t="s">
        <v>127</v>
      </c>
      <c r="B60" s="178" t="s">
        <v>206</v>
      </c>
      <c r="C60" s="177" t="s">
        <v>22</v>
      </c>
      <c r="D60" s="176">
        <v>1843.2</v>
      </c>
      <c r="E60" s="227">
        <v>14.94</v>
      </c>
      <c r="F60" s="226">
        <f>E60*D60</f>
        <v>27537.407999999999</v>
      </c>
      <c r="G60" s="196" t="s">
        <v>129</v>
      </c>
      <c r="H60" s="195" t="s">
        <v>153</v>
      </c>
    </row>
    <row r="61" spans="1:8" ht="69.95" customHeight="1">
      <c r="A61" s="199" t="s">
        <v>135</v>
      </c>
      <c r="B61" s="198" t="s">
        <v>136</v>
      </c>
      <c r="C61" s="197" t="s">
        <v>22</v>
      </c>
      <c r="D61" s="212">
        <v>128.32</v>
      </c>
      <c r="E61" s="227">
        <v>178.57</v>
      </c>
      <c r="F61" s="226">
        <f>E61*D61</f>
        <v>22914.102399999996</v>
      </c>
      <c r="G61" s="134" t="s">
        <v>137</v>
      </c>
      <c r="H61" s="191" t="s">
        <v>250</v>
      </c>
    </row>
    <row r="62" spans="1:8" ht="111.95" customHeight="1">
      <c r="A62" s="183" t="s">
        <v>138</v>
      </c>
      <c r="B62" s="175" t="s">
        <v>156</v>
      </c>
      <c r="C62" s="177" t="s">
        <v>157</v>
      </c>
      <c r="D62" s="176">
        <v>30913.3</v>
      </c>
      <c r="E62" s="227">
        <v>0.62</v>
      </c>
      <c r="F62" s="226">
        <f t="shared" ref="F62:F72" si="5">E62*D62</f>
        <v>19166.245999999999</v>
      </c>
      <c r="G62" s="174" t="s">
        <v>158</v>
      </c>
      <c r="H62" s="173" t="s">
        <v>159</v>
      </c>
    </row>
    <row r="63" spans="1:8" ht="68.25" customHeight="1">
      <c r="A63" s="183" t="s">
        <v>160</v>
      </c>
      <c r="B63" s="175" t="s">
        <v>161</v>
      </c>
      <c r="C63" s="177" t="s">
        <v>22</v>
      </c>
      <c r="D63" s="176">
        <v>619.76</v>
      </c>
      <c r="E63" s="227">
        <v>153.19999999999999</v>
      </c>
      <c r="F63" s="226">
        <f t="shared" si="5"/>
        <v>94947.231999999989</v>
      </c>
      <c r="G63" s="139" t="s">
        <v>146</v>
      </c>
      <c r="H63" s="190" t="s">
        <v>275</v>
      </c>
    </row>
    <row r="64" spans="1:8" ht="108.75" customHeight="1">
      <c r="A64" s="183" t="s">
        <v>162</v>
      </c>
      <c r="B64" s="175" t="s">
        <v>163</v>
      </c>
      <c r="C64" s="177" t="s">
        <v>157</v>
      </c>
      <c r="D64" s="176">
        <v>5532.3</v>
      </c>
      <c r="E64" s="227">
        <v>0.72</v>
      </c>
      <c r="F64" s="226">
        <f t="shared" si="5"/>
        <v>3983.2559999999999</v>
      </c>
      <c r="G64" s="174" t="s">
        <v>158</v>
      </c>
      <c r="H64" s="173" t="s">
        <v>159</v>
      </c>
    </row>
    <row r="65" spans="1:8" ht="81" customHeight="1">
      <c r="A65" s="183" t="s">
        <v>164</v>
      </c>
      <c r="B65" s="172" t="s">
        <v>165</v>
      </c>
      <c r="C65" s="177" t="s">
        <v>22</v>
      </c>
      <c r="D65" s="176">
        <v>221.05</v>
      </c>
      <c r="E65" s="227">
        <v>270.45999999999998</v>
      </c>
      <c r="F65" s="226">
        <f t="shared" si="5"/>
        <v>59785.182999999997</v>
      </c>
      <c r="G65" s="171" t="s">
        <v>166</v>
      </c>
      <c r="H65" s="170" t="s">
        <v>279</v>
      </c>
    </row>
    <row r="66" spans="1:8" ht="72" customHeight="1">
      <c r="A66" s="183" t="s">
        <v>141</v>
      </c>
      <c r="B66" s="175" t="s">
        <v>167</v>
      </c>
      <c r="C66" s="177" t="s">
        <v>22</v>
      </c>
      <c r="D66" s="176">
        <v>2.12</v>
      </c>
      <c r="E66" s="227">
        <v>381.29</v>
      </c>
      <c r="F66" s="226">
        <f t="shared" si="5"/>
        <v>808.33480000000009</v>
      </c>
      <c r="G66" s="151" t="s">
        <v>143</v>
      </c>
      <c r="H66" s="169" t="s">
        <v>276</v>
      </c>
    </row>
    <row r="67" spans="1:8" ht="109.5" customHeight="1">
      <c r="A67" s="183" t="s">
        <v>144</v>
      </c>
      <c r="B67" s="175" t="s">
        <v>169</v>
      </c>
      <c r="C67" s="177" t="s">
        <v>157</v>
      </c>
      <c r="D67" s="176">
        <v>16966.2</v>
      </c>
      <c r="E67" s="227">
        <v>0.72</v>
      </c>
      <c r="F67" s="226">
        <f t="shared" si="5"/>
        <v>12215.664000000001</v>
      </c>
      <c r="G67" s="174" t="s">
        <v>158</v>
      </c>
      <c r="H67" s="173" t="s">
        <v>159</v>
      </c>
    </row>
    <row r="68" spans="1:8" ht="84" customHeight="1">
      <c r="A68" s="183" t="s">
        <v>147</v>
      </c>
      <c r="B68" s="175" t="s">
        <v>170</v>
      </c>
      <c r="C68" s="177" t="s">
        <v>22</v>
      </c>
      <c r="D68" s="176">
        <v>151.41</v>
      </c>
      <c r="E68" s="227">
        <v>277.0930965</v>
      </c>
      <c r="F68" s="226">
        <f t="shared" si="5"/>
        <v>41954.665741065</v>
      </c>
      <c r="G68" s="180" t="s">
        <v>171</v>
      </c>
      <c r="H68" s="170" t="s">
        <v>279</v>
      </c>
    </row>
    <row r="69" spans="1:8" ht="69.75" customHeight="1">
      <c r="A69" s="183" t="s">
        <v>172</v>
      </c>
      <c r="B69" s="152" t="s">
        <v>173</v>
      </c>
      <c r="C69" s="182" t="s">
        <v>22</v>
      </c>
      <c r="D69" s="181">
        <v>83.22</v>
      </c>
      <c r="E69" s="227">
        <v>142.51</v>
      </c>
      <c r="F69" s="226">
        <f t="shared" si="5"/>
        <v>11859.682199999999</v>
      </c>
      <c r="G69" s="139" t="s">
        <v>146</v>
      </c>
      <c r="H69" s="190" t="s">
        <v>275</v>
      </c>
    </row>
    <row r="70" spans="1:8" ht="85.5" customHeight="1">
      <c r="A70" s="183" t="s">
        <v>174</v>
      </c>
      <c r="B70" s="152" t="s">
        <v>175</v>
      </c>
      <c r="C70" s="182" t="s">
        <v>22</v>
      </c>
      <c r="D70" s="181">
        <v>97.82</v>
      </c>
      <c r="E70" s="227">
        <v>354.69</v>
      </c>
      <c r="F70" s="226">
        <f t="shared" si="5"/>
        <v>34695.775799999996</v>
      </c>
      <c r="G70" s="180" t="s">
        <v>149</v>
      </c>
      <c r="H70" s="225" t="s">
        <v>278</v>
      </c>
    </row>
    <row r="71" spans="1:8" ht="62.1" customHeight="1">
      <c r="A71" s="183" t="s">
        <v>207</v>
      </c>
      <c r="B71" s="175" t="s">
        <v>176</v>
      </c>
      <c r="C71" s="177" t="s">
        <v>90</v>
      </c>
      <c r="D71" s="176">
        <v>1515</v>
      </c>
      <c r="E71" s="227">
        <v>3.6</v>
      </c>
      <c r="F71" s="226">
        <f t="shared" si="5"/>
        <v>5454</v>
      </c>
      <c r="G71" s="200" t="s">
        <v>177</v>
      </c>
      <c r="H71" s="150" t="s">
        <v>178</v>
      </c>
    </row>
    <row r="72" spans="1:8" ht="99.95" customHeight="1">
      <c r="A72" s="183" t="s">
        <v>208</v>
      </c>
      <c r="B72" s="230" t="s">
        <v>205</v>
      </c>
      <c r="C72" s="142" t="s">
        <v>22</v>
      </c>
      <c r="D72" s="217">
        <v>1121.7</v>
      </c>
      <c r="E72" s="227">
        <v>7.194</v>
      </c>
      <c r="F72" s="226">
        <f t="shared" si="5"/>
        <v>8069.5098000000007</v>
      </c>
      <c r="G72" s="209" t="s">
        <v>76</v>
      </c>
      <c r="H72" s="208" t="s">
        <v>264</v>
      </c>
    </row>
    <row r="73" spans="1:8" ht="26.1" customHeight="1">
      <c r="A73" s="168" t="s">
        <v>209</v>
      </c>
      <c r="B73" s="175" t="s">
        <v>210</v>
      </c>
      <c r="C73" s="167"/>
      <c r="D73" s="149"/>
      <c r="E73" s="148"/>
      <c r="F73" s="226"/>
      <c r="G73" s="230"/>
      <c r="H73" s="150"/>
    </row>
    <row r="74" spans="1:8" ht="102" customHeight="1">
      <c r="A74" s="168" t="s">
        <v>127</v>
      </c>
      <c r="B74" s="175" t="s">
        <v>152</v>
      </c>
      <c r="C74" s="167" t="s">
        <v>22</v>
      </c>
      <c r="D74" s="149">
        <v>499.8</v>
      </c>
      <c r="E74" s="227">
        <v>14.939539999999999</v>
      </c>
      <c r="F74" s="226">
        <f t="shared" ref="F74:F84" si="6">E74*D74</f>
        <v>7466.7820919999995</v>
      </c>
      <c r="G74" s="196" t="s">
        <v>211</v>
      </c>
      <c r="H74" s="195" t="s">
        <v>212</v>
      </c>
    </row>
    <row r="75" spans="1:8" ht="75.75" customHeight="1">
      <c r="A75" s="168" t="s">
        <v>131</v>
      </c>
      <c r="B75" s="147" t="s">
        <v>213</v>
      </c>
      <c r="C75" s="146" t="s">
        <v>22</v>
      </c>
      <c r="D75" s="145">
        <v>179.2</v>
      </c>
      <c r="E75" s="227">
        <v>178.57</v>
      </c>
      <c r="F75" s="226">
        <f t="shared" si="6"/>
        <v>31999.743999999995</v>
      </c>
      <c r="G75" s="166" t="s">
        <v>214</v>
      </c>
      <c r="H75" s="191" t="s">
        <v>281</v>
      </c>
    </row>
    <row r="76" spans="1:8" ht="74.25" customHeight="1">
      <c r="A76" s="165" t="s">
        <v>135</v>
      </c>
      <c r="B76" s="164" t="s">
        <v>215</v>
      </c>
      <c r="C76" s="163" t="s">
        <v>22</v>
      </c>
      <c r="D76" s="212">
        <v>35.840000000000003</v>
      </c>
      <c r="E76" s="227">
        <v>178.57</v>
      </c>
      <c r="F76" s="226">
        <f t="shared" si="6"/>
        <v>6399.9488000000001</v>
      </c>
      <c r="G76" s="166" t="s">
        <v>155</v>
      </c>
      <c r="H76" s="191" t="s">
        <v>250</v>
      </c>
    </row>
    <row r="77" spans="1:8" ht="81" customHeight="1">
      <c r="A77" s="162" t="s">
        <v>197</v>
      </c>
      <c r="B77" s="147" t="s">
        <v>216</v>
      </c>
      <c r="C77" s="146" t="s">
        <v>22</v>
      </c>
      <c r="D77" s="145">
        <v>35.840000000000003</v>
      </c>
      <c r="E77" s="227">
        <v>153.19999999999999</v>
      </c>
      <c r="F77" s="226">
        <f t="shared" si="6"/>
        <v>5490.6880000000001</v>
      </c>
      <c r="G77" s="139" t="s">
        <v>217</v>
      </c>
      <c r="H77" s="190" t="s">
        <v>276</v>
      </c>
    </row>
    <row r="78" spans="1:8" ht="114.95" customHeight="1">
      <c r="A78" s="162" t="s">
        <v>138</v>
      </c>
      <c r="B78" s="147" t="s">
        <v>218</v>
      </c>
      <c r="C78" s="146" t="s">
        <v>157</v>
      </c>
      <c r="D78" s="145">
        <v>47525.8</v>
      </c>
      <c r="E78" s="227">
        <v>0.8</v>
      </c>
      <c r="F78" s="226">
        <f t="shared" si="6"/>
        <v>38020.640000000007</v>
      </c>
      <c r="G78" s="174" t="s">
        <v>158</v>
      </c>
      <c r="H78" s="173" t="s">
        <v>204</v>
      </c>
    </row>
    <row r="79" spans="1:8" ht="81" customHeight="1">
      <c r="A79" s="162" t="s">
        <v>160</v>
      </c>
      <c r="B79" s="147" t="s">
        <v>219</v>
      </c>
      <c r="C79" s="146" t="s">
        <v>22</v>
      </c>
      <c r="D79" s="145">
        <v>323.60000000000002</v>
      </c>
      <c r="E79" s="227">
        <v>312.58</v>
      </c>
      <c r="F79" s="226">
        <f t="shared" si="6"/>
        <v>101150.88800000001</v>
      </c>
      <c r="G79" s="161" t="s">
        <v>220</v>
      </c>
      <c r="H79" s="170" t="s">
        <v>277</v>
      </c>
    </row>
    <row r="80" spans="1:8" ht="78.95" customHeight="1">
      <c r="A80" s="162" t="s">
        <v>162</v>
      </c>
      <c r="B80" s="147" t="s">
        <v>167</v>
      </c>
      <c r="C80" s="146" t="s">
        <v>22</v>
      </c>
      <c r="D80" s="145">
        <v>0.89</v>
      </c>
      <c r="E80" s="227">
        <v>381.29</v>
      </c>
      <c r="F80" s="226">
        <f t="shared" si="6"/>
        <v>339.34810000000004</v>
      </c>
      <c r="G80" s="151" t="s">
        <v>143</v>
      </c>
      <c r="H80" s="169" t="s">
        <v>276</v>
      </c>
    </row>
    <row r="81" spans="1:8" ht="84.95" customHeight="1">
      <c r="A81" s="162" t="s">
        <v>164</v>
      </c>
      <c r="B81" s="147" t="s">
        <v>221</v>
      </c>
      <c r="C81" s="146" t="s">
        <v>22</v>
      </c>
      <c r="D81" s="145">
        <v>109.3</v>
      </c>
      <c r="E81" s="227">
        <v>142.51</v>
      </c>
      <c r="F81" s="226">
        <f t="shared" si="6"/>
        <v>15576.342999999999</v>
      </c>
      <c r="G81" s="139" t="s">
        <v>146</v>
      </c>
      <c r="H81" s="160" t="s">
        <v>168</v>
      </c>
    </row>
    <row r="82" spans="1:8" ht="90.95" customHeight="1">
      <c r="A82" s="162" t="s">
        <v>141</v>
      </c>
      <c r="B82" s="147" t="s">
        <v>222</v>
      </c>
      <c r="C82" s="146" t="s">
        <v>22</v>
      </c>
      <c r="D82" s="145">
        <f>189.53</f>
        <v>189.53</v>
      </c>
      <c r="E82" s="227">
        <v>354.69</v>
      </c>
      <c r="F82" s="226">
        <f t="shared" si="6"/>
        <v>67224.395699999994</v>
      </c>
      <c r="G82" s="180" t="s">
        <v>149</v>
      </c>
      <c r="H82" s="225" t="s">
        <v>280</v>
      </c>
    </row>
    <row r="83" spans="1:8" ht="56.25" customHeight="1">
      <c r="A83" s="162" t="s">
        <v>144</v>
      </c>
      <c r="B83" s="147" t="s">
        <v>176</v>
      </c>
      <c r="C83" s="146" t="s">
        <v>90</v>
      </c>
      <c r="D83" s="145">
        <v>644</v>
      </c>
      <c r="E83" s="227">
        <v>3.6</v>
      </c>
      <c r="F83" s="226">
        <f>E83*D83</f>
        <v>2318.4</v>
      </c>
      <c r="G83" s="159" t="s">
        <v>177</v>
      </c>
      <c r="H83" s="150" t="s">
        <v>223</v>
      </c>
    </row>
    <row r="84" spans="1:8" ht="81.95" customHeight="1">
      <c r="A84" s="168" t="s">
        <v>208</v>
      </c>
      <c r="B84" s="142" t="s">
        <v>205</v>
      </c>
      <c r="C84" s="142" t="s">
        <v>22</v>
      </c>
      <c r="D84" s="217">
        <v>1001</v>
      </c>
      <c r="E84" s="227">
        <v>7.194</v>
      </c>
      <c r="F84" s="226">
        <f t="shared" si="6"/>
        <v>7201.1939999999995</v>
      </c>
      <c r="G84" s="209" t="s">
        <v>76</v>
      </c>
      <c r="H84" s="208" t="s">
        <v>264</v>
      </c>
    </row>
    <row r="85" spans="1:8" ht="32.1" customHeight="1" thickBot="1">
      <c r="A85" s="158" t="s">
        <v>286</v>
      </c>
      <c r="B85" s="157"/>
      <c r="C85" s="157"/>
      <c r="D85" s="156"/>
      <c r="E85" s="155"/>
      <c r="F85" s="136">
        <f>SUM(F4:F84)</f>
        <v>10694626.422823166</v>
      </c>
      <c r="G85" s="155"/>
      <c r="H85" s="154"/>
    </row>
    <row r="86" spans="1:8" s="264" customFormat="1" ht="25.5" customHeight="1">
      <c r="A86" s="254" t="s">
        <v>287</v>
      </c>
      <c r="B86" s="253"/>
      <c r="C86" s="253"/>
      <c r="D86" s="253"/>
      <c r="E86" s="253"/>
      <c r="F86" s="253"/>
      <c r="G86" s="253"/>
      <c r="H86" s="252"/>
    </row>
    <row r="87" spans="1:8" s="264" customFormat="1" ht="25.5" customHeight="1">
      <c r="A87" s="263"/>
      <c r="B87" s="262"/>
      <c r="C87" s="262"/>
      <c r="D87" s="262"/>
      <c r="E87" s="262"/>
      <c r="F87" s="262"/>
      <c r="G87" s="262"/>
      <c r="H87" s="261"/>
    </row>
    <row r="88" spans="1:8" s="264" customFormat="1">
      <c r="A88" s="260" t="s">
        <v>288</v>
      </c>
      <c r="B88" s="259"/>
      <c r="C88" s="259"/>
      <c r="D88" s="259"/>
      <c r="E88" s="259"/>
      <c r="F88" s="259"/>
      <c r="G88" s="259"/>
      <c r="H88" s="258"/>
    </row>
    <row r="89" spans="1:8" s="264" customFormat="1">
      <c r="A89" s="257" t="s">
        <v>289</v>
      </c>
      <c r="B89" s="256"/>
      <c r="C89" s="256"/>
      <c r="D89" s="256"/>
      <c r="E89" s="256"/>
      <c r="F89" s="256"/>
      <c r="G89" s="256"/>
      <c r="H89" s="255"/>
    </row>
    <row r="90" spans="1:8" s="264" customFormat="1">
      <c r="A90" s="257" t="s">
        <v>290</v>
      </c>
      <c r="B90" s="256"/>
      <c r="C90" s="256"/>
      <c r="D90" s="256"/>
      <c r="E90" s="256"/>
      <c r="F90" s="256"/>
      <c r="G90" s="256"/>
      <c r="H90" s="255"/>
    </row>
    <row r="91" spans="1:8" s="264" customFormat="1">
      <c r="A91" s="257" t="s">
        <v>291</v>
      </c>
      <c r="B91" s="256"/>
      <c r="C91" s="256"/>
      <c r="D91" s="256"/>
      <c r="E91" s="256"/>
      <c r="F91" s="256"/>
      <c r="G91" s="256"/>
      <c r="H91" s="255"/>
    </row>
    <row r="92" spans="1:8" s="264" customFormat="1" ht="12.75" thickBot="1">
      <c r="A92" s="251" t="s">
        <v>292</v>
      </c>
      <c r="B92" s="250"/>
      <c r="C92" s="250"/>
      <c r="D92" s="250"/>
      <c r="E92" s="250"/>
      <c r="F92" s="250"/>
      <c r="G92" s="250"/>
      <c r="H92" s="249"/>
    </row>
  </sheetData>
  <sheetProtection password="C61B" sheet="1" objects="1" scenarios="1"/>
  <mergeCells count="11">
    <mergeCell ref="A92:H92"/>
    <mergeCell ref="A86:H87"/>
    <mergeCell ref="A88:H88"/>
    <mergeCell ref="A89:H89"/>
    <mergeCell ref="A90:H90"/>
    <mergeCell ref="A91:H91"/>
    <mergeCell ref="A1:H1"/>
    <mergeCell ref="A3:C3"/>
    <mergeCell ref="G13:G14"/>
    <mergeCell ref="H13:H14"/>
    <mergeCell ref="A85:D85"/>
  </mergeCells>
  <phoneticPr fontId="36" type="noConversion"/>
  <pageMargins left="0.98425196850393704" right="0.94488188976377963" top="0.9055118110236221" bottom="0.94488188976377963" header="0.31496062992125984" footer="0.7"/>
  <pageSetup paperSize="9" scale="75" orientation="landscape" r:id="rId1"/>
  <headerFooter>
    <oddFooter>&amp;L投标法定代表人或授权委托人（签字盖章）：&amp;C
&amp;R&amp;P/&amp;N</oddFooter>
  </headerFooter>
</worksheet>
</file>

<file path=xl/worksheets/sheet4.xml><?xml version="1.0" encoding="utf-8"?>
<worksheet xmlns="http://schemas.openxmlformats.org/spreadsheetml/2006/main" xmlns:r="http://schemas.openxmlformats.org/officeDocument/2006/relationships">
  <dimension ref="A1:H86"/>
  <sheetViews>
    <sheetView tabSelected="1" workbookViewId="0">
      <pane xSplit="6" ySplit="2" topLeftCell="G77" activePane="bottomRight" state="frozen"/>
      <selection pane="topRight"/>
      <selection pane="bottomLeft"/>
      <selection pane="bottomRight" activeCell="C99" sqref="C99"/>
    </sheetView>
  </sheetViews>
  <sheetFormatPr defaultColWidth="8.875" defaultRowHeight="13.5"/>
  <cols>
    <col min="1" max="1" width="9.125" style="2" customWidth="1"/>
    <col min="2" max="2" width="19.625" style="2" customWidth="1"/>
    <col min="3" max="3" width="6.75" style="2" customWidth="1"/>
    <col min="4" max="4" width="10.75" style="2"/>
    <col min="5" max="5" width="11.875" style="2"/>
    <col min="6" max="6" width="14.625" style="2" customWidth="1"/>
    <col min="7" max="7" width="42.5" style="2" customWidth="1"/>
    <col min="8" max="8" width="53.25" style="2" customWidth="1"/>
    <col min="9" max="16384" width="8.875" style="3"/>
  </cols>
  <sheetData>
    <row r="1" spans="1:8" ht="36.75" customHeight="1" thickBot="1">
      <c r="A1" s="248" t="s">
        <v>294</v>
      </c>
      <c r="B1" s="247"/>
      <c r="C1" s="247"/>
      <c r="D1" s="247"/>
      <c r="E1" s="247"/>
      <c r="F1" s="247"/>
      <c r="G1" s="247"/>
      <c r="H1" s="247"/>
    </row>
    <row r="2" spans="1:8" ht="24">
      <c r="A2" s="8" t="s">
        <v>0</v>
      </c>
      <c r="B2" s="9" t="s">
        <v>1</v>
      </c>
      <c r="C2" s="9" t="s">
        <v>2</v>
      </c>
      <c r="D2" s="9" t="s">
        <v>3</v>
      </c>
      <c r="E2" s="10" t="s">
        <v>283</v>
      </c>
      <c r="F2" s="9" t="s">
        <v>4</v>
      </c>
      <c r="G2" s="9" t="s">
        <v>5</v>
      </c>
      <c r="H2" s="9" t="s">
        <v>6</v>
      </c>
    </row>
    <row r="3" spans="1:8" s="1" customFormat="1" ht="24" customHeight="1">
      <c r="A3" s="130" t="s">
        <v>7</v>
      </c>
      <c r="B3" s="131"/>
      <c r="C3" s="131"/>
      <c r="D3" s="11"/>
      <c r="E3" s="12"/>
      <c r="F3" s="13"/>
      <c r="G3" s="14"/>
      <c r="H3" s="14"/>
    </row>
    <row r="4" spans="1:8" s="1" customFormat="1" ht="200.25" customHeight="1">
      <c r="A4" s="15" t="s">
        <v>8</v>
      </c>
      <c r="B4" s="16" t="s">
        <v>9</v>
      </c>
      <c r="C4" s="17" t="s">
        <v>10</v>
      </c>
      <c r="D4" s="18">
        <v>1</v>
      </c>
      <c r="E4" s="19">
        <v>518606</v>
      </c>
      <c r="F4" s="20">
        <f>ROUND(D4*E4,0)</f>
        <v>518606</v>
      </c>
      <c r="G4" s="21" t="s">
        <v>11</v>
      </c>
      <c r="H4" s="22" t="s">
        <v>12</v>
      </c>
    </row>
    <row r="5" spans="1:8" s="1" customFormat="1" ht="129.75" customHeight="1">
      <c r="A5" s="23" t="s">
        <v>13</v>
      </c>
      <c r="B5" s="22" t="s">
        <v>14</v>
      </c>
      <c r="C5" s="24" t="s">
        <v>15</v>
      </c>
      <c r="D5" s="24">
        <v>1</v>
      </c>
      <c r="E5" s="25">
        <v>304430</v>
      </c>
      <c r="F5" s="20">
        <f t="shared" ref="F5:F68" si="0">ROUND(D5*E5,0)</f>
        <v>304430</v>
      </c>
      <c r="G5" s="22" t="s">
        <v>16</v>
      </c>
      <c r="H5" s="22" t="s">
        <v>17</v>
      </c>
    </row>
    <row r="6" spans="1:8">
      <c r="A6" s="26" t="s">
        <v>18</v>
      </c>
      <c r="B6" s="27" t="s">
        <v>19</v>
      </c>
      <c r="C6" s="28"/>
      <c r="D6" s="28"/>
      <c r="E6" s="24"/>
      <c r="F6" s="20">
        <f t="shared" si="0"/>
        <v>0</v>
      </c>
      <c r="G6" s="29"/>
      <c r="H6" s="29"/>
    </row>
    <row r="7" spans="1:8" ht="114.95" customHeight="1">
      <c r="A7" s="26" t="s">
        <v>20</v>
      </c>
      <c r="B7" s="27" t="s">
        <v>21</v>
      </c>
      <c r="C7" s="28" t="s">
        <v>22</v>
      </c>
      <c r="D7" s="28">
        <v>39423.495000000003</v>
      </c>
      <c r="E7" s="30">
        <v>7.18</v>
      </c>
      <c r="F7" s="20">
        <f t="shared" si="0"/>
        <v>283061</v>
      </c>
      <c r="G7" s="31" t="s">
        <v>23</v>
      </c>
      <c r="H7" s="32" t="s">
        <v>282</v>
      </c>
    </row>
    <row r="8" spans="1:8" ht="54" customHeight="1">
      <c r="A8" s="33" t="s">
        <v>224</v>
      </c>
      <c r="B8" s="27" t="s">
        <v>25</v>
      </c>
      <c r="C8" s="28" t="s">
        <v>26</v>
      </c>
      <c r="D8" s="28">
        <v>4224</v>
      </c>
      <c r="E8" s="30">
        <v>6.71</v>
      </c>
      <c r="F8" s="20">
        <f t="shared" si="0"/>
        <v>28343</v>
      </c>
      <c r="G8" s="22" t="s">
        <v>27</v>
      </c>
      <c r="H8" s="22" t="s">
        <v>28</v>
      </c>
    </row>
    <row r="9" spans="1:8" ht="24.95" customHeight="1">
      <c r="A9" s="26" t="s">
        <v>29</v>
      </c>
      <c r="B9" s="27" t="s">
        <v>30</v>
      </c>
      <c r="C9" s="28"/>
      <c r="D9" s="28"/>
      <c r="E9" s="30"/>
      <c r="F9" s="20"/>
      <c r="G9" s="22"/>
      <c r="H9" s="22"/>
    </row>
    <row r="10" spans="1:8" ht="24.95" customHeight="1">
      <c r="A10" s="26" t="s">
        <v>20</v>
      </c>
      <c r="B10" s="27" t="s">
        <v>56</v>
      </c>
      <c r="C10" s="28"/>
      <c r="D10" s="28"/>
      <c r="E10" s="30"/>
      <c r="F10" s="20"/>
      <c r="G10" s="22"/>
      <c r="H10" s="22"/>
    </row>
    <row r="11" spans="1:8" s="34" customFormat="1" ht="117" customHeight="1">
      <c r="A11" s="26" t="s">
        <v>36</v>
      </c>
      <c r="B11" s="27" t="s">
        <v>56</v>
      </c>
      <c r="C11" s="28" t="s">
        <v>22</v>
      </c>
      <c r="D11" s="28">
        <f>80100.4+3164+953.1</f>
        <v>84217.5</v>
      </c>
      <c r="E11" s="30">
        <v>6.68</v>
      </c>
      <c r="F11" s="20">
        <f t="shared" si="0"/>
        <v>562573</v>
      </c>
      <c r="G11" s="22" t="s">
        <v>32</v>
      </c>
      <c r="H11" s="22" t="s">
        <v>33</v>
      </c>
    </row>
    <row r="12" spans="1:8" ht="24" customHeight="1">
      <c r="A12" s="26" t="s">
        <v>34</v>
      </c>
      <c r="B12" s="27" t="s">
        <v>35</v>
      </c>
      <c r="C12" s="28"/>
      <c r="D12" s="28"/>
      <c r="E12" s="30"/>
      <c r="F12" s="20"/>
      <c r="G12" s="22"/>
      <c r="H12" s="22"/>
    </row>
    <row r="13" spans="1:8" ht="60.75" customHeight="1">
      <c r="A13" s="26" t="s">
        <v>36</v>
      </c>
      <c r="B13" s="27" t="s">
        <v>37</v>
      </c>
      <c r="C13" s="28" t="s">
        <v>22</v>
      </c>
      <c r="D13" s="28">
        <v>32794.699999999997</v>
      </c>
      <c r="E13" s="30">
        <v>8.82</v>
      </c>
      <c r="F13" s="20">
        <f t="shared" si="0"/>
        <v>289249</v>
      </c>
      <c r="G13" s="132" t="s">
        <v>225</v>
      </c>
      <c r="H13" s="133" t="s">
        <v>226</v>
      </c>
    </row>
    <row r="14" spans="1:8" ht="60.75" customHeight="1">
      <c r="A14" s="26" t="s">
        <v>40</v>
      </c>
      <c r="B14" s="27" t="s">
        <v>227</v>
      </c>
      <c r="C14" s="28" t="s">
        <v>22</v>
      </c>
      <c r="D14" s="28">
        <v>23730.3</v>
      </c>
      <c r="E14" s="30">
        <v>29.62</v>
      </c>
      <c r="F14" s="20">
        <f t="shared" si="0"/>
        <v>702891</v>
      </c>
      <c r="G14" s="132"/>
      <c r="H14" s="133"/>
    </row>
    <row r="15" spans="1:8" ht="107.25" customHeight="1">
      <c r="A15" s="26" t="s">
        <v>24</v>
      </c>
      <c r="B15" s="27" t="s">
        <v>44</v>
      </c>
      <c r="C15" s="28" t="s">
        <v>22</v>
      </c>
      <c r="D15" s="28">
        <v>16557</v>
      </c>
      <c r="E15" s="30">
        <v>6.21</v>
      </c>
      <c r="F15" s="20">
        <f t="shared" si="0"/>
        <v>102819</v>
      </c>
      <c r="G15" s="31" t="s">
        <v>45</v>
      </c>
      <c r="H15" s="32" t="s">
        <v>268</v>
      </c>
    </row>
    <row r="16" spans="1:8" ht="84.75" customHeight="1">
      <c r="A16" s="26" t="s">
        <v>46</v>
      </c>
      <c r="B16" s="27" t="s">
        <v>47</v>
      </c>
      <c r="C16" s="28" t="s">
        <v>22</v>
      </c>
      <c r="D16" s="28">
        <v>16415.900000000001</v>
      </c>
      <c r="E16" s="30">
        <v>17.18</v>
      </c>
      <c r="F16" s="20">
        <f t="shared" si="0"/>
        <v>282025</v>
      </c>
      <c r="G16" s="35" t="s">
        <v>48</v>
      </c>
      <c r="H16" s="35" t="s">
        <v>49</v>
      </c>
    </row>
    <row r="17" spans="1:8" s="1" customFormat="1" ht="84.75" customHeight="1">
      <c r="A17" s="26" t="s">
        <v>50</v>
      </c>
      <c r="B17" s="27" t="s">
        <v>51</v>
      </c>
      <c r="C17" s="28" t="s">
        <v>22</v>
      </c>
      <c r="D17" s="28">
        <v>14296</v>
      </c>
      <c r="E17" s="30">
        <v>3.13</v>
      </c>
      <c r="F17" s="20">
        <f t="shared" si="0"/>
        <v>44746</v>
      </c>
      <c r="G17" s="36" t="s">
        <v>52</v>
      </c>
      <c r="H17" s="36" t="s">
        <v>53</v>
      </c>
    </row>
    <row r="18" spans="1:8" ht="24">
      <c r="A18" s="26" t="s">
        <v>61</v>
      </c>
      <c r="B18" s="27" t="s">
        <v>62</v>
      </c>
      <c r="C18" s="28"/>
      <c r="D18" s="28"/>
      <c r="E18" s="30"/>
      <c r="F18" s="20"/>
      <c r="G18" s="22"/>
      <c r="H18" s="22"/>
    </row>
    <row r="19" spans="1:8" ht="90" customHeight="1">
      <c r="A19" s="37" t="s">
        <v>20</v>
      </c>
      <c r="B19" s="27" t="s">
        <v>63</v>
      </c>
      <c r="C19" s="38" t="s">
        <v>22</v>
      </c>
      <c r="D19" s="39">
        <f>55968+808.5</f>
        <v>56776.5</v>
      </c>
      <c r="E19" s="30">
        <v>10.76</v>
      </c>
      <c r="F19" s="20">
        <f t="shared" si="0"/>
        <v>610915</v>
      </c>
      <c r="G19" s="22" t="s">
        <v>64</v>
      </c>
      <c r="H19" s="40" t="s">
        <v>271</v>
      </c>
    </row>
    <row r="20" spans="1:8" ht="177.75" customHeight="1">
      <c r="A20" s="26" t="s">
        <v>34</v>
      </c>
      <c r="B20" s="27" t="s">
        <v>65</v>
      </c>
      <c r="C20" s="28" t="s">
        <v>22</v>
      </c>
      <c r="D20" s="39">
        <f>83264.4+953.1</f>
        <v>84217.5</v>
      </c>
      <c r="E20" s="30">
        <v>3.72</v>
      </c>
      <c r="F20" s="20">
        <f t="shared" si="0"/>
        <v>313289</v>
      </c>
      <c r="G20" s="41" t="s">
        <v>231</v>
      </c>
      <c r="H20" s="42" t="s">
        <v>232</v>
      </c>
    </row>
    <row r="21" spans="1:8" ht="174.75" customHeight="1">
      <c r="A21" s="26" t="s">
        <v>24</v>
      </c>
      <c r="B21" s="27" t="s">
        <v>68</v>
      </c>
      <c r="C21" s="28" t="s">
        <v>22</v>
      </c>
      <c r="D21" s="28">
        <f>56525-144</f>
        <v>56381</v>
      </c>
      <c r="E21" s="30">
        <v>4.82</v>
      </c>
      <c r="F21" s="20">
        <f t="shared" si="0"/>
        <v>271756</v>
      </c>
      <c r="G21" s="43" t="s">
        <v>233</v>
      </c>
      <c r="H21" s="42" t="s">
        <v>234</v>
      </c>
    </row>
    <row r="22" spans="1:8" s="1" customFormat="1" ht="198" customHeight="1">
      <c r="A22" s="26" t="s">
        <v>235</v>
      </c>
      <c r="B22" s="27" t="s">
        <v>71</v>
      </c>
      <c r="C22" s="28" t="s">
        <v>22</v>
      </c>
      <c r="D22" s="44">
        <f>42666-144.6</f>
        <v>42521.4</v>
      </c>
      <c r="E22" s="30">
        <v>10.54</v>
      </c>
      <c r="F22" s="20">
        <f t="shared" si="0"/>
        <v>448176</v>
      </c>
      <c r="G22" s="45" t="s">
        <v>72</v>
      </c>
      <c r="H22" s="46" t="s">
        <v>73</v>
      </c>
    </row>
    <row r="23" spans="1:8" ht="76.5" customHeight="1">
      <c r="A23" s="26" t="s">
        <v>74</v>
      </c>
      <c r="B23" s="27" t="s">
        <v>75</v>
      </c>
      <c r="C23" s="28" t="s">
        <v>22</v>
      </c>
      <c r="D23" s="39">
        <v>3404</v>
      </c>
      <c r="E23" s="30">
        <v>7.19</v>
      </c>
      <c r="F23" s="20">
        <f t="shared" si="0"/>
        <v>24475</v>
      </c>
      <c r="G23" s="47" t="s">
        <v>76</v>
      </c>
      <c r="H23" s="48" t="s">
        <v>264</v>
      </c>
    </row>
    <row r="24" spans="1:8" ht="80.099999999999994" customHeight="1">
      <c r="A24" s="26" t="s">
        <v>78</v>
      </c>
      <c r="B24" s="27" t="s">
        <v>79</v>
      </c>
      <c r="C24" s="28" t="s">
        <v>22</v>
      </c>
      <c r="D24" s="28">
        <v>600</v>
      </c>
      <c r="E24" s="30">
        <v>13.63</v>
      </c>
      <c r="F24" s="20">
        <f t="shared" si="0"/>
        <v>8178</v>
      </c>
      <c r="G24" s="29" t="s">
        <v>80</v>
      </c>
      <c r="H24" s="35" t="s">
        <v>77</v>
      </c>
    </row>
    <row r="25" spans="1:8">
      <c r="A25" s="26" t="s">
        <v>86</v>
      </c>
      <c r="B25" s="27" t="s">
        <v>87</v>
      </c>
      <c r="C25" s="28"/>
      <c r="D25" s="28"/>
      <c r="E25" s="30"/>
      <c r="F25" s="20"/>
      <c r="G25" s="22"/>
      <c r="H25" s="22"/>
    </row>
    <row r="26" spans="1:8" ht="30" customHeight="1">
      <c r="A26" s="26" t="s">
        <v>34</v>
      </c>
      <c r="B26" s="27" t="s">
        <v>88</v>
      </c>
      <c r="C26" s="28"/>
      <c r="D26" s="28"/>
      <c r="E26" s="30"/>
      <c r="F26" s="20"/>
      <c r="G26" s="22"/>
      <c r="H26" s="22"/>
    </row>
    <row r="27" spans="1:8" ht="86.25" customHeight="1">
      <c r="A27" s="26" t="s">
        <v>36</v>
      </c>
      <c r="B27" s="27" t="s">
        <v>89</v>
      </c>
      <c r="C27" s="28" t="s">
        <v>90</v>
      </c>
      <c r="D27" s="28">
        <v>1320</v>
      </c>
      <c r="E27" s="30">
        <v>1</v>
      </c>
      <c r="F27" s="20">
        <f t="shared" si="0"/>
        <v>1320</v>
      </c>
      <c r="G27" s="49" t="s">
        <v>91</v>
      </c>
      <c r="H27" s="49" t="s">
        <v>92</v>
      </c>
    </row>
    <row r="28" spans="1:8" ht="96" customHeight="1">
      <c r="A28" s="26" t="s">
        <v>40</v>
      </c>
      <c r="B28" s="50" t="s">
        <v>93</v>
      </c>
      <c r="C28" s="28" t="s">
        <v>90</v>
      </c>
      <c r="D28" s="28">
        <v>76263</v>
      </c>
      <c r="E28" s="30">
        <v>1</v>
      </c>
      <c r="F28" s="20">
        <f t="shared" si="0"/>
        <v>76263</v>
      </c>
      <c r="G28" s="49" t="s">
        <v>94</v>
      </c>
      <c r="H28" s="49" t="s">
        <v>95</v>
      </c>
    </row>
    <row r="29" spans="1:8" ht="23.1" customHeight="1">
      <c r="A29" s="26" t="s">
        <v>97</v>
      </c>
      <c r="B29" s="27" t="s">
        <v>98</v>
      </c>
      <c r="C29" s="28"/>
      <c r="D29" s="28"/>
      <c r="E29" s="30"/>
      <c r="F29" s="20"/>
      <c r="G29" s="22"/>
      <c r="H29" s="22"/>
    </row>
    <row r="30" spans="1:8" ht="48">
      <c r="A30" s="26" t="s">
        <v>24</v>
      </c>
      <c r="B30" s="27" t="s">
        <v>241</v>
      </c>
      <c r="C30" s="28" t="s">
        <v>100</v>
      </c>
      <c r="D30" s="28">
        <v>8737</v>
      </c>
      <c r="E30" s="30">
        <v>261.49</v>
      </c>
      <c r="F30" s="20">
        <f t="shared" si="0"/>
        <v>2284638</v>
      </c>
      <c r="G30" s="22" t="s">
        <v>101</v>
      </c>
      <c r="H30" s="48" t="s">
        <v>260</v>
      </c>
    </row>
    <row r="31" spans="1:8" ht="26.1" customHeight="1">
      <c r="A31" s="51" t="s">
        <v>103</v>
      </c>
      <c r="B31" s="52" t="s">
        <v>104</v>
      </c>
      <c r="C31" s="53"/>
      <c r="D31" s="53"/>
      <c r="E31" s="30"/>
      <c r="F31" s="20"/>
      <c r="G31" s="35"/>
      <c r="H31" s="35"/>
    </row>
    <row r="32" spans="1:8" ht="90" customHeight="1">
      <c r="A32" s="51" t="s">
        <v>20</v>
      </c>
      <c r="B32" s="52" t="s">
        <v>188</v>
      </c>
      <c r="C32" s="53" t="s">
        <v>100</v>
      </c>
      <c r="D32" s="53">
        <v>260</v>
      </c>
      <c r="E32" s="30">
        <v>346.22</v>
      </c>
      <c r="F32" s="20">
        <f t="shared" si="0"/>
        <v>90017</v>
      </c>
      <c r="G32" s="54" t="s">
        <v>256</v>
      </c>
      <c r="H32" s="48" t="s">
        <v>257</v>
      </c>
    </row>
    <row r="33" spans="1:8" ht="24">
      <c r="A33" s="55" t="s">
        <v>115</v>
      </c>
      <c r="B33" s="40" t="s">
        <v>116</v>
      </c>
      <c r="C33" s="56"/>
      <c r="D33" s="56"/>
      <c r="E33" s="30"/>
      <c r="F33" s="20"/>
      <c r="G33" s="40"/>
      <c r="H33" s="40"/>
    </row>
    <row r="34" spans="1:8" ht="101.1" customHeight="1">
      <c r="A34" s="55" t="s">
        <v>20</v>
      </c>
      <c r="B34" s="40" t="s">
        <v>117</v>
      </c>
      <c r="C34" s="56" t="s">
        <v>22</v>
      </c>
      <c r="D34" s="56">
        <v>1563.4</v>
      </c>
      <c r="E34" s="30">
        <v>345.41</v>
      </c>
      <c r="F34" s="20">
        <f t="shared" si="0"/>
        <v>540014</v>
      </c>
      <c r="G34" s="40" t="s">
        <v>119</v>
      </c>
      <c r="H34" s="40" t="s">
        <v>253</v>
      </c>
    </row>
    <row r="35" spans="1:8" ht="93.95" customHeight="1">
      <c r="A35" s="55" t="s">
        <v>34</v>
      </c>
      <c r="B35" s="40" t="s">
        <v>190</v>
      </c>
      <c r="C35" s="56" t="s">
        <v>22</v>
      </c>
      <c r="D35" s="56">
        <v>5703.9</v>
      </c>
      <c r="E35" s="30">
        <v>372.87</v>
      </c>
      <c r="F35" s="20">
        <f t="shared" si="0"/>
        <v>2126813</v>
      </c>
      <c r="G35" s="40" t="s">
        <v>119</v>
      </c>
      <c r="H35" s="40" t="s">
        <v>120</v>
      </c>
    </row>
    <row r="36" spans="1:8" s="1" customFormat="1" ht="93.95" customHeight="1">
      <c r="A36" s="55" t="s">
        <v>24</v>
      </c>
      <c r="B36" s="40" t="s">
        <v>121</v>
      </c>
      <c r="C36" s="56" t="s">
        <v>22</v>
      </c>
      <c r="D36" s="56">
        <v>472.2</v>
      </c>
      <c r="E36" s="30">
        <v>549.66</v>
      </c>
      <c r="F36" s="20">
        <f t="shared" si="0"/>
        <v>259549</v>
      </c>
      <c r="G36" s="40" t="s">
        <v>122</v>
      </c>
      <c r="H36" s="40" t="s">
        <v>123</v>
      </c>
    </row>
    <row r="37" spans="1:8" ht="27" customHeight="1">
      <c r="A37" s="57" t="s">
        <v>124</v>
      </c>
      <c r="B37" s="58" t="s">
        <v>125</v>
      </c>
      <c r="C37" s="59"/>
      <c r="D37" s="44"/>
      <c r="E37" s="30"/>
      <c r="F37" s="20"/>
      <c r="G37" s="22"/>
      <c r="H37" s="22"/>
    </row>
    <row r="38" spans="1:8">
      <c r="A38" s="57" t="s">
        <v>20</v>
      </c>
      <c r="B38" s="58" t="s">
        <v>126</v>
      </c>
      <c r="C38" s="59"/>
      <c r="D38" s="44"/>
      <c r="E38" s="30"/>
      <c r="F38" s="20"/>
      <c r="G38" s="29"/>
      <c r="H38" s="60"/>
    </row>
    <row r="39" spans="1:8" ht="102" customHeight="1">
      <c r="A39" s="57" t="s">
        <v>127</v>
      </c>
      <c r="B39" s="58" t="s">
        <v>191</v>
      </c>
      <c r="C39" s="59" t="s">
        <v>22</v>
      </c>
      <c r="D39" s="44">
        <v>1271.1400000000001</v>
      </c>
      <c r="E39" s="30">
        <v>14.94</v>
      </c>
      <c r="F39" s="20">
        <f t="shared" si="0"/>
        <v>18991</v>
      </c>
      <c r="G39" s="61" t="s">
        <v>129</v>
      </c>
      <c r="H39" s="62" t="s">
        <v>130</v>
      </c>
    </row>
    <row r="40" spans="1:8">
      <c r="A40" s="57" t="s">
        <v>131</v>
      </c>
      <c r="B40" s="58" t="s">
        <v>194</v>
      </c>
      <c r="C40" s="59"/>
      <c r="D40" s="44"/>
      <c r="E40" s="30"/>
      <c r="F40" s="20"/>
      <c r="G40" s="61"/>
      <c r="H40" s="62"/>
    </row>
    <row r="41" spans="1:8" ht="87.75" customHeight="1">
      <c r="A41" s="57" t="s">
        <v>36</v>
      </c>
      <c r="B41" s="63" t="s">
        <v>195</v>
      </c>
      <c r="C41" s="59" t="s">
        <v>100</v>
      </c>
      <c r="D41" s="44">
        <v>39.5</v>
      </c>
      <c r="E41" s="30">
        <v>72.849999999999994</v>
      </c>
      <c r="F41" s="20">
        <f t="shared" si="0"/>
        <v>2878</v>
      </c>
      <c r="G41" s="64" t="s">
        <v>133</v>
      </c>
      <c r="H41" s="65" t="s">
        <v>134</v>
      </c>
    </row>
    <row r="42" spans="1:8" ht="79.5" customHeight="1">
      <c r="A42" s="57" t="s">
        <v>40</v>
      </c>
      <c r="B42" s="63" t="s">
        <v>196</v>
      </c>
      <c r="C42" s="59" t="s">
        <v>100</v>
      </c>
      <c r="D42" s="44">
        <v>162.5</v>
      </c>
      <c r="E42" s="30">
        <v>100.32</v>
      </c>
      <c r="F42" s="20">
        <f t="shared" si="0"/>
        <v>16302</v>
      </c>
      <c r="G42" s="64" t="s">
        <v>133</v>
      </c>
      <c r="H42" s="65" t="s">
        <v>134</v>
      </c>
    </row>
    <row r="43" spans="1:8" ht="81" customHeight="1">
      <c r="A43" s="57" t="s">
        <v>135</v>
      </c>
      <c r="B43" s="58" t="s">
        <v>136</v>
      </c>
      <c r="C43" s="59" t="s">
        <v>22</v>
      </c>
      <c r="D43" s="44">
        <v>124.98</v>
      </c>
      <c r="E43" s="30">
        <v>166.11</v>
      </c>
      <c r="F43" s="20">
        <f t="shared" si="0"/>
        <v>20760</v>
      </c>
      <c r="G43" s="66" t="s">
        <v>137</v>
      </c>
      <c r="H43" s="67" t="s">
        <v>250</v>
      </c>
    </row>
    <row r="44" spans="1:8" ht="77.099999999999994" customHeight="1">
      <c r="A44" s="57" t="s">
        <v>138</v>
      </c>
      <c r="B44" s="63" t="s">
        <v>139</v>
      </c>
      <c r="C44" s="59" t="s">
        <v>22</v>
      </c>
      <c r="D44" s="44">
        <v>242.04</v>
      </c>
      <c r="E44" s="30">
        <v>142.51</v>
      </c>
      <c r="F44" s="20">
        <f t="shared" si="0"/>
        <v>34493</v>
      </c>
      <c r="G44" s="68" t="s">
        <v>140</v>
      </c>
      <c r="H44" s="69" t="s">
        <v>275</v>
      </c>
    </row>
    <row r="45" spans="1:8" ht="78" customHeight="1">
      <c r="A45" s="57" t="s">
        <v>138</v>
      </c>
      <c r="B45" s="58" t="s">
        <v>198</v>
      </c>
      <c r="C45" s="59" t="s">
        <v>22</v>
      </c>
      <c r="D45" s="44">
        <v>6.18</v>
      </c>
      <c r="E45" s="30">
        <v>142.51</v>
      </c>
      <c r="F45" s="20">
        <f t="shared" si="0"/>
        <v>881</v>
      </c>
      <c r="G45" s="68" t="s">
        <v>140</v>
      </c>
      <c r="H45" s="69" t="s">
        <v>276</v>
      </c>
    </row>
    <row r="46" spans="1:8" ht="77.099999999999994" customHeight="1">
      <c r="A46" s="57" t="s">
        <v>160</v>
      </c>
      <c r="B46" s="63" t="s">
        <v>199</v>
      </c>
      <c r="C46" s="59" t="s">
        <v>22</v>
      </c>
      <c r="D46" s="44">
        <v>15.98</v>
      </c>
      <c r="E46" s="30">
        <v>354.69</v>
      </c>
      <c r="F46" s="20">
        <f t="shared" si="0"/>
        <v>5668</v>
      </c>
      <c r="G46" s="70" t="s">
        <v>200</v>
      </c>
      <c r="H46" s="71" t="s">
        <v>277</v>
      </c>
    </row>
    <row r="47" spans="1:8" ht="78.75" customHeight="1">
      <c r="A47" s="57" t="s">
        <v>162</v>
      </c>
      <c r="B47" s="72" t="s">
        <v>201</v>
      </c>
      <c r="C47" s="59" t="s">
        <v>22</v>
      </c>
      <c r="D47" s="44">
        <v>43.95</v>
      </c>
      <c r="E47" s="30">
        <v>321.72000000000003</v>
      </c>
      <c r="F47" s="20">
        <f t="shared" si="0"/>
        <v>14140</v>
      </c>
      <c r="G47" s="70" t="s">
        <v>202</v>
      </c>
      <c r="H47" s="71" t="s">
        <v>277</v>
      </c>
    </row>
    <row r="48" spans="1:8" s="1" customFormat="1" ht="108.75" customHeight="1">
      <c r="A48" s="57" t="s">
        <v>164</v>
      </c>
      <c r="B48" s="58" t="s">
        <v>242</v>
      </c>
      <c r="C48" s="59" t="s">
        <v>157</v>
      </c>
      <c r="D48" s="44">
        <v>1342.4</v>
      </c>
      <c r="E48" s="30">
        <v>0.86</v>
      </c>
      <c r="F48" s="20">
        <f t="shared" si="0"/>
        <v>1154</v>
      </c>
      <c r="G48" s="61" t="s">
        <v>158</v>
      </c>
      <c r="H48" s="73" t="s">
        <v>204</v>
      </c>
    </row>
    <row r="49" spans="1:8" ht="87" customHeight="1">
      <c r="A49" s="57" t="s">
        <v>141</v>
      </c>
      <c r="B49" s="63" t="s">
        <v>142</v>
      </c>
      <c r="C49" s="59" t="s">
        <v>22</v>
      </c>
      <c r="D49" s="44">
        <v>1.66</v>
      </c>
      <c r="E49" s="30">
        <v>354.69</v>
      </c>
      <c r="F49" s="20">
        <f t="shared" si="0"/>
        <v>589</v>
      </c>
      <c r="G49" s="74" t="s">
        <v>143</v>
      </c>
      <c r="H49" s="75" t="s">
        <v>275</v>
      </c>
    </row>
    <row r="50" spans="1:8" ht="86.1" customHeight="1">
      <c r="A50" s="76" t="s">
        <v>144</v>
      </c>
      <c r="B50" s="40" t="s">
        <v>173</v>
      </c>
      <c r="C50" s="77" t="s">
        <v>22</v>
      </c>
      <c r="D50" s="78">
        <v>60.55</v>
      </c>
      <c r="E50" s="30">
        <v>142.51</v>
      </c>
      <c r="F50" s="20">
        <f t="shared" si="0"/>
        <v>8629</v>
      </c>
      <c r="G50" s="68" t="s">
        <v>146</v>
      </c>
      <c r="H50" s="69" t="s">
        <v>275</v>
      </c>
    </row>
    <row r="51" spans="1:8" ht="68.25" customHeight="1">
      <c r="A51" s="76" t="s">
        <v>147</v>
      </c>
      <c r="B51" s="40" t="s">
        <v>175</v>
      </c>
      <c r="C51" s="77" t="s">
        <v>22</v>
      </c>
      <c r="D51" s="78">
        <v>64.61</v>
      </c>
      <c r="E51" s="30">
        <v>354.69</v>
      </c>
      <c r="F51" s="20">
        <f t="shared" si="0"/>
        <v>22917</v>
      </c>
      <c r="G51" s="79" t="s">
        <v>149</v>
      </c>
      <c r="H51" s="32" t="s">
        <v>278</v>
      </c>
    </row>
    <row r="52" spans="1:8" ht="73.5" customHeight="1">
      <c r="A52" s="76" t="s">
        <v>172</v>
      </c>
      <c r="B52" s="27" t="s">
        <v>205</v>
      </c>
      <c r="C52" s="28" t="s">
        <v>22</v>
      </c>
      <c r="D52" s="39">
        <v>642.80999999999995</v>
      </c>
      <c r="E52" s="30">
        <v>7.19</v>
      </c>
      <c r="F52" s="20">
        <f t="shared" si="0"/>
        <v>4622</v>
      </c>
      <c r="G52" s="47" t="s">
        <v>76</v>
      </c>
      <c r="H52" s="48" t="s">
        <v>264</v>
      </c>
    </row>
    <row r="53" spans="1:8" ht="30" customHeight="1">
      <c r="A53" s="57" t="s">
        <v>150</v>
      </c>
      <c r="B53" s="58" t="s">
        <v>240</v>
      </c>
      <c r="C53" s="59"/>
      <c r="D53" s="44"/>
      <c r="E53" s="30"/>
      <c r="F53" s="20"/>
      <c r="G53" s="22"/>
      <c r="H53" s="60"/>
    </row>
    <row r="54" spans="1:8" ht="123.95" customHeight="1">
      <c r="A54" s="76" t="s">
        <v>127</v>
      </c>
      <c r="B54" s="80" t="s">
        <v>206</v>
      </c>
      <c r="C54" s="81" t="s">
        <v>22</v>
      </c>
      <c r="D54" s="82">
        <v>3283.2</v>
      </c>
      <c r="E54" s="30">
        <v>14.94</v>
      </c>
      <c r="F54" s="20">
        <f t="shared" si="0"/>
        <v>49051</v>
      </c>
      <c r="G54" s="61" t="s">
        <v>129</v>
      </c>
      <c r="H54" s="62" t="s">
        <v>153</v>
      </c>
    </row>
    <row r="55" spans="1:8" ht="70.5" customHeight="1">
      <c r="A55" s="57" t="s">
        <v>135</v>
      </c>
      <c r="B55" s="58" t="s">
        <v>136</v>
      </c>
      <c r="C55" s="59" t="s">
        <v>22</v>
      </c>
      <c r="D55" s="44">
        <v>216.24</v>
      </c>
      <c r="E55" s="30">
        <v>178.57</v>
      </c>
      <c r="F55" s="20">
        <f t="shared" si="0"/>
        <v>38614</v>
      </c>
      <c r="G55" s="66" t="s">
        <v>137</v>
      </c>
      <c r="H55" s="67" t="s">
        <v>250</v>
      </c>
    </row>
    <row r="56" spans="1:8" ht="120" customHeight="1">
      <c r="A56" s="76" t="s">
        <v>138</v>
      </c>
      <c r="B56" s="83" t="s">
        <v>156</v>
      </c>
      <c r="C56" s="81" t="s">
        <v>157</v>
      </c>
      <c r="D56" s="82">
        <v>50220</v>
      </c>
      <c r="E56" s="30">
        <v>0.62</v>
      </c>
      <c r="F56" s="20">
        <f t="shared" si="0"/>
        <v>31136</v>
      </c>
      <c r="G56" s="84" t="s">
        <v>158</v>
      </c>
      <c r="H56" s="85" t="s">
        <v>159</v>
      </c>
    </row>
    <row r="57" spans="1:8" ht="84" customHeight="1">
      <c r="A57" s="76" t="s">
        <v>160</v>
      </c>
      <c r="B57" s="83" t="s">
        <v>161</v>
      </c>
      <c r="C57" s="81" t="s">
        <v>22</v>
      </c>
      <c r="D57" s="82">
        <v>1061.58</v>
      </c>
      <c r="E57" s="30">
        <v>153.19999999999999</v>
      </c>
      <c r="F57" s="20">
        <f t="shared" si="0"/>
        <v>162634</v>
      </c>
      <c r="G57" s="68" t="s">
        <v>146</v>
      </c>
      <c r="H57" s="69" t="s">
        <v>275</v>
      </c>
    </row>
    <row r="58" spans="1:8" ht="120" customHeight="1">
      <c r="A58" s="76" t="s">
        <v>162</v>
      </c>
      <c r="B58" s="83" t="s">
        <v>163</v>
      </c>
      <c r="C58" s="81" t="s">
        <v>157</v>
      </c>
      <c r="D58" s="82">
        <v>9320.2999999999993</v>
      </c>
      <c r="E58" s="30">
        <v>0.72</v>
      </c>
      <c r="F58" s="20">
        <f t="shared" si="0"/>
        <v>6711</v>
      </c>
      <c r="G58" s="84" t="s">
        <v>158</v>
      </c>
      <c r="H58" s="85" t="s">
        <v>159</v>
      </c>
    </row>
    <row r="59" spans="1:8" ht="90" customHeight="1">
      <c r="A59" s="76" t="s">
        <v>164</v>
      </c>
      <c r="B59" s="83" t="s">
        <v>165</v>
      </c>
      <c r="C59" s="81" t="s">
        <v>22</v>
      </c>
      <c r="D59" s="82">
        <v>772.32</v>
      </c>
      <c r="E59" s="30">
        <v>270.45999999999998</v>
      </c>
      <c r="F59" s="20">
        <f t="shared" si="0"/>
        <v>208882</v>
      </c>
      <c r="G59" s="86" t="s">
        <v>166</v>
      </c>
      <c r="H59" s="87" t="s">
        <v>279</v>
      </c>
    </row>
    <row r="60" spans="1:8" ht="69.75" customHeight="1">
      <c r="A60" s="76" t="s">
        <v>141</v>
      </c>
      <c r="B60" s="83" t="s">
        <v>167</v>
      </c>
      <c r="C60" s="81" t="s">
        <v>22</v>
      </c>
      <c r="D60" s="82">
        <v>3.76</v>
      </c>
      <c r="E60" s="30">
        <v>381.29</v>
      </c>
      <c r="F60" s="20">
        <f t="shared" si="0"/>
        <v>1434</v>
      </c>
      <c r="G60" s="88" t="s">
        <v>143</v>
      </c>
      <c r="H60" s="89" t="s">
        <v>276</v>
      </c>
    </row>
    <row r="61" spans="1:8" ht="110.25" customHeight="1">
      <c r="A61" s="76" t="s">
        <v>144</v>
      </c>
      <c r="B61" s="83" t="s">
        <v>169</v>
      </c>
      <c r="C61" s="81" t="s">
        <v>157</v>
      </c>
      <c r="D61" s="82">
        <v>29795.4</v>
      </c>
      <c r="E61" s="30">
        <v>0.72</v>
      </c>
      <c r="F61" s="20">
        <f t="shared" si="0"/>
        <v>21453</v>
      </c>
      <c r="G61" s="84" t="s">
        <v>158</v>
      </c>
      <c r="H61" s="85" t="s">
        <v>159</v>
      </c>
    </row>
    <row r="62" spans="1:8" ht="80.25" customHeight="1">
      <c r="A62" s="76" t="s">
        <v>147</v>
      </c>
      <c r="B62" s="83" t="s">
        <v>170</v>
      </c>
      <c r="C62" s="81" t="s">
        <v>22</v>
      </c>
      <c r="D62" s="82">
        <v>278.82</v>
      </c>
      <c r="E62" s="30">
        <v>277.08999999999997</v>
      </c>
      <c r="F62" s="20">
        <f t="shared" si="0"/>
        <v>77258</v>
      </c>
      <c r="G62" s="79" t="s">
        <v>171</v>
      </c>
      <c r="H62" s="87" t="s">
        <v>279</v>
      </c>
    </row>
    <row r="63" spans="1:8" ht="72.75" customHeight="1">
      <c r="A63" s="76" t="s">
        <v>172</v>
      </c>
      <c r="B63" s="40" t="s">
        <v>173</v>
      </c>
      <c r="C63" s="77" t="s">
        <v>22</v>
      </c>
      <c r="D63" s="78">
        <v>146.66</v>
      </c>
      <c r="E63" s="30">
        <v>142.51</v>
      </c>
      <c r="F63" s="20">
        <f t="shared" si="0"/>
        <v>20901</v>
      </c>
      <c r="G63" s="68" t="s">
        <v>146</v>
      </c>
      <c r="H63" s="69" t="s">
        <v>275</v>
      </c>
    </row>
    <row r="64" spans="1:8" ht="82.5" customHeight="1">
      <c r="A64" s="76" t="s">
        <v>174</v>
      </c>
      <c r="B64" s="40" t="s">
        <v>175</v>
      </c>
      <c r="C64" s="77" t="s">
        <v>22</v>
      </c>
      <c r="D64" s="78">
        <v>183.82</v>
      </c>
      <c r="E64" s="30">
        <v>354.69</v>
      </c>
      <c r="F64" s="20">
        <f t="shared" si="0"/>
        <v>65199</v>
      </c>
      <c r="G64" s="79" t="s">
        <v>149</v>
      </c>
      <c r="H64" s="32" t="s">
        <v>278</v>
      </c>
    </row>
    <row r="65" spans="1:8" ht="50.25" customHeight="1">
      <c r="A65" s="76" t="s">
        <v>207</v>
      </c>
      <c r="B65" s="83" t="s">
        <v>176</v>
      </c>
      <c r="C65" s="81" t="s">
        <v>90</v>
      </c>
      <c r="D65" s="82">
        <v>2421</v>
      </c>
      <c r="E65" s="30">
        <v>3.6</v>
      </c>
      <c r="F65" s="20">
        <f t="shared" si="0"/>
        <v>8716</v>
      </c>
      <c r="G65" s="40" t="s">
        <v>177</v>
      </c>
      <c r="H65" s="90" t="s">
        <v>178</v>
      </c>
    </row>
    <row r="66" spans="1:8" ht="77.25" customHeight="1">
      <c r="A66" s="76" t="s">
        <v>208</v>
      </c>
      <c r="B66" s="27" t="s">
        <v>205</v>
      </c>
      <c r="C66" s="28" t="s">
        <v>22</v>
      </c>
      <c r="D66" s="39">
        <v>1931.56</v>
      </c>
      <c r="E66" s="30">
        <v>7.19</v>
      </c>
      <c r="F66" s="20">
        <f t="shared" si="0"/>
        <v>13888</v>
      </c>
      <c r="G66" s="47" t="s">
        <v>76</v>
      </c>
      <c r="H66" s="48" t="s">
        <v>264</v>
      </c>
    </row>
    <row r="67" spans="1:8" s="1" customFormat="1" ht="26.1" customHeight="1">
      <c r="A67" s="91" t="s">
        <v>209</v>
      </c>
      <c r="B67" s="83" t="s">
        <v>210</v>
      </c>
      <c r="C67" s="92"/>
      <c r="D67" s="93"/>
      <c r="E67" s="94"/>
      <c r="F67" s="20"/>
      <c r="G67" s="27"/>
      <c r="H67" s="90"/>
    </row>
    <row r="68" spans="1:8" s="1" customFormat="1" ht="97.5" customHeight="1">
      <c r="A68" s="91" t="s">
        <v>127</v>
      </c>
      <c r="B68" s="83" t="s">
        <v>152</v>
      </c>
      <c r="C68" s="92" t="s">
        <v>22</v>
      </c>
      <c r="D68" s="95">
        <v>474.15</v>
      </c>
      <c r="E68" s="30">
        <v>14.94</v>
      </c>
      <c r="F68" s="20">
        <f t="shared" si="0"/>
        <v>7084</v>
      </c>
      <c r="G68" s="61" t="s">
        <v>211</v>
      </c>
      <c r="H68" s="62" t="s">
        <v>212</v>
      </c>
    </row>
    <row r="69" spans="1:8" s="1" customFormat="1" ht="86.25" customHeight="1">
      <c r="A69" s="91" t="s">
        <v>131</v>
      </c>
      <c r="B69" s="96" t="s">
        <v>213</v>
      </c>
      <c r="C69" s="97" t="s">
        <v>22</v>
      </c>
      <c r="D69" s="98">
        <v>179.2</v>
      </c>
      <c r="E69" s="30">
        <v>178.57</v>
      </c>
      <c r="F69" s="20">
        <f t="shared" ref="F69:F78" si="1">ROUND(D69*E69,0)</f>
        <v>32000</v>
      </c>
      <c r="G69" s="99" t="s">
        <v>214</v>
      </c>
      <c r="H69" s="67" t="s">
        <v>281</v>
      </c>
    </row>
    <row r="70" spans="1:8" s="1" customFormat="1" ht="85.5" customHeight="1">
      <c r="A70" s="100" t="s">
        <v>135</v>
      </c>
      <c r="B70" s="101" t="s">
        <v>215</v>
      </c>
      <c r="C70" s="102" t="s">
        <v>22</v>
      </c>
      <c r="D70" s="95">
        <v>185.6</v>
      </c>
      <c r="E70" s="30">
        <v>178.57</v>
      </c>
      <c r="F70" s="20">
        <f t="shared" si="1"/>
        <v>33143</v>
      </c>
      <c r="G70" s="99" t="s">
        <v>155</v>
      </c>
      <c r="H70" s="67" t="s">
        <v>250</v>
      </c>
    </row>
    <row r="71" spans="1:8" s="1" customFormat="1" ht="87" customHeight="1">
      <c r="A71" s="103" t="s">
        <v>197</v>
      </c>
      <c r="B71" s="96" t="s">
        <v>216</v>
      </c>
      <c r="C71" s="97" t="s">
        <v>22</v>
      </c>
      <c r="D71" s="95">
        <v>37.119999999999997</v>
      </c>
      <c r="E71" s="30">
        <v>153.19999999999999</v>
      </c>
      <c r="F71" s="20">
        <f t="shared" si="1"/>
        <v>5687</v>
      </c>
      <c r="G71" s="68" t="s">
        <v>217</v>
      </c>
      <c r="H71" s="69" t="s">
        <v>276</v>
      </c>
    </row>
    <row r="72" spans="1:8" s="1" customFormat="1" ht="123.95" customHeight="1">
      <c r="A72" s="103" t="s">
        <v>138</v>
      </c>
      <c r="B72" s="96" t="s">
        <v>218</v>
      </c>
      <c r="C72" s="97" t="s">
        <v>157</v>
      </c>
      <c r="D72" s="95">
        <v>39204.400000000001</v>
      </c>
      <c r="E72" s="30">
        <v>0.8</v>
      </c>
      <c r="F72" s="20">
        <f t="shared" si="1"/>
        <v>31364</v>
      </c>
      <c r="G72" s="84" t="s">
        <v>158</v>
      </c>
      <c r="H72" s="85" t="s">
        <v>204</v>
      </c>
    </row>
    <row r="73" spans="1:8" s="1" customFormat="1" ht="74.25" customHeight="1">
      <c r="A73" s="103" t="s">
        <v>160</v>
      </c>
      <c r="B73" s="96" t="s">
        <v>219</v>
      </c>
      <c r="C73" s="97" t="s">
        <v>22</v>
      </c>
      <c r="D73" s="95">
        <v>305.2</v>
      </c>
      <c r="E73" s="30">
        <v>312.58</v>
      </c>
      <c r="F73" s="20">
        <f t="shared" si="1"/>
        <v>95399</v>
      </c>
      <c r="G73" s="52" t="s">
        <v>220</v>
      </c>
      <c r="H73" s="87" t="s">
        <v>277</v>
      </c>
    </row>
    <row r="74" spans="1:8" s="1" customFormat="1" ht="70.5" customHeight="1">
      <c r="A74" s="103" t="s">
        <v>162</v>
      </c>
      <c r="B74" s="96" t="s">
        <v>167</v>
      </c>
      <c r="C74" s="97" t="s">
        <v>22</v>
      </c>
      <c r="D74" s="95">
        <v>0.88</v>
      </c>
      <c r="E74" s="30">
        <v>381.29</v>
      </c>
      <c r="F74" s="20">
        <f t="shared" si="1"/>
        <v>336</v>
      </c>
      <c r="G74" s="88" t="s">
        <v>143</v>
      </c>
      <c r="H74" s="89" t="s">
        <v>276</v>
      </c>
    </row>
    <row r="75" spans="1:8" s="1" customFormat="1" ht="69.75" customHeight="1">
      <c r="A75" s="103" t="s">
        <v>164</v>
      </c>
      <c r="B75" s="96" t="s">
        <v>221</v>
      </c>
      <c r="C75" s="97" t="s">
        <v>22</v>
      </c>
      <c r="D75" s="98">
        <v>99.45</v>
      </c>
      <c r="E75" s="30">
        <v>142.51</v>
      </c>
      <c r="F75" s="20">
        <f t="shared" si="1"/>
        <v>14173</v>
      </c>
      <c r="G75" s="68" t="s">
        <v>146</v>
      </c>
      <c r="H75" s="69" t="s">
        <v>276</v>
      </c>
    </row>
    <row r="76" spans="1:8" s="1" customFormat="1" ht="62.25" customHeight="1">
      <c r="A76" s="103" t="s">
        <v>141</v>
      </c>
      <c r="B76" s="96" t="s">
        <v>222</v>
      </c>
      <c r="C76" s="97" t="s">
        <v>22</v>
      </c>
      <c r="D76" s="98">
        <v>127.3</v>
      </c>
      <c r="E76" s="30">
        <v>354.69</v>
      </c>
      <c r="F76" s="20">
        <f t="shared" si="1"/>
        <v>45152</v>
      </c>
      <c r="G76" s="79" t="s">
        <v>149</v>
      </c>
      <c r="H76" s="32" t="s">
        <v>280</v>
      </c>
    </row>
    <row r="77" spans="1:8" s="1" customFormat="1" ht="62.25" customHeight="1">
      <c r="A77" s="103" t="s">
        <v>144</v>
      </c>
      <c r="B77" s="96" t="s">
        <v>176</v>
      </c>
      <c r="C77" s="97" t="s">
        <v>90</v>
      </c>
      <c r="D77" s="95">
        <v>551</v>
      </c>
      <c r="E77" s="30">
        <v>3.6</v>
      </c>
      <c r="F77" s="20">
        <f t="shared" si="1"/>
        <v>1984</v>
      </c>
      <c r="G77" s="104" t="s">
        <v>177</v>
      </c>
      <c r="H77" s="90" t="s">
        <v>223</v>
      </c>
    </row>
    <row r="78" spans="1:8" s="1" customFormat="1" ht="68.25" customHeight="1">
      <c r="A78" s="91" t="s">
        <v>208</v>
      </c>
      <c r="B78" s="27" t="s">
        <v>205</v>
      </c>
      <c r="C78" s="28" t="s">
        <v>22</v>
      </c>
      <c r="D78" s="95">
        <v>717.75</v>
      </c>
      <c r="E78" s="30">
        <v>7.19</v>
      </c>
      <c r="F78" s="20">
        <f t="shared" si="1"/>
        <v>5161</v>
      </c>
      <c r="G78" s="47" t="s">
        <v>76</v>
      </c>
      <c r="H78" s="48" t="s">
        <v>264</v>
      </c>
    </row>
    <row r="79" spans="1:8" ht="24" customHeight="1" thickBot="1">
      <c r="A79" s="127" t="s">
        <v>286</v>
      </c>
      <c r="B79" s="128"/>
      <c r="C79" s="128"/>
      <c r="D79" s="129"/>
      <c r="E79" s="4"/>
      <c r="F79" s="5">
        <f>SUM(F4:F78)</f>
        <v>11303530</v>
      </c>
      <c r="G79" s="6"/>
      <c r="H79" s="6"/>
    </row>
    <row r="80" spans="1:8" s="264" customFormat="1" ht="25.5" customHeight="1">
      <c r="A80" s="254" t="s">
        <v>301</v>
      </c>
      <c r="B80" s="253"/>
      <c r="C80" s="253"/>
      <c r="D80" s="253"/>
      <c r="E80" s="253"/>
      <c r="F80" s="253"/>
      <c r="G80" s="253"/>
      <c r="H80" s="252"/>
    </row>
    <row r="81" spans="1:8" s="264" customFormat="1" ht="25.5" customHeight="1">
      <c r="A81" s="263"/>
      <c r="B81" s="262"/>
      <c r="C81" s="262"/>
      <c r="D81" s="262"/>
      <c r="E81" s="262"/>
      <c r="F81" s="262"/>
      <c r="G81" s="262"/>
      <c r="H81" s="261"/>
    </row>
    <row r="82" spans="1:8" s="264" customFormat="1" ht="12">
      <c r="A82" s="260" t="s">
        <v>288</v>
      </c>
      <c r="B82" s="259"/>
      <c r="C82" s="259"/>
      <c r="D82" s="259"/>
      <c r="E82" s="259"/>
      <c r="F82" s="259"/>
      <c r="G82" s="259"/>
      <c r="H82" s="258"/>
    </row>
    <row r="83" spans="1:8" s="264" customFormat="1" ht="12">
      <c r="A83" s="257" t="s">
        <v>289</v>
      </c>
      <c r="B83" s="256"/>
      <c r="C83" s="256"/>
      <c r="D83" s="256"/>
      <c r="E83" s="256"/>
      <c r="F83" s="256"/>
      <c r="G83" s="256"/>
      <c r="H83" s="255"/>
    </row>
    <row r="84" spans="1:8" s="264" customFormat="1" ht="12">
      <c r="A84" s="257" t="s">
        <v>290</v>
      </c>
      <c r="B84" s="256"/>
      <c r="C84" s="256"/>
      <c r="D84" s="256"/>
      <c r="E84" s="256"/>
      <c r="F84" s="256"/>
      <c r="G84" s="256"/>
      <c r="H84" s="255"/>
    </row>
    <row r="85" spans="1:8" s="264" customFormat="1" ht="12">
      <c r="A85" s="257" t="s">
        <v>291</v>
      </c>
      <c r="B85" s="256"/>
      <c r="C85" s="256"/>
      <c r="D85" s="256"/>
      <c r="E85" s="256"/>
      <c r="F85" s="256"/>
      <c r="G85" s="256"/>
      <c r="H85" s="255"/>
    </row>
    <row r="86" spans="1:8" s="264" customFormat="1" ht="12.75" thickBot="1">
      <c r="A86" s="251" t="s">
        <v>292</v>
      </c>
      <c r="B86" s="250"/>
      <c r="C86" s="250"/>
      <c r="D86" s="250"/>
      <c r="E86" s="250"/>
      <c r="F86" s="250"/>
      <c r="G86" s="250"/>
      <c r="H86" s="249"/>
    </row>
  </sheetData>
  <sheetProtection password="C61B" sheet="1" objects="1" scenarios="1"/>
  <mergeCells count="11">
    <mergeCell ref="A86:H86"/>
    <mergeCell ref="A80:H81"/>
    <mergeCell ref="A82:H82"/>
    <mergeCell ref="A83:H83"/>
    <mergeCell ref="A84:H84"/>
    <mergeCell ref="A85:H85"/>
    <mergeCell ref="A1:H1"/>
    <mergeCell ref="A3:C3"/>
    <mergeCell ref="G13:G14"/>
    <mergeCell ref="H13:H14"/>
    <mergeCell ref="A79:D79"/>
  </mergeCells>
  <phoneticPr fontId="36" type="noConversion"/>
  <pageMargins left="0.94488188976377963" right="0.98425196850393704" top="0.94488188976377963" bottom="0.98425196850393704" header="0.51181102362204722" footer="0.79"/>
  <pageSetup paperSize="9" scale="75" orientation="landscape" r:id="rId1"/>
  <headerFooter>
    <oddFooter>&amp;L投标法定代表人或授权委托人（签字盖章）：&amp;C
&amp;R&amp;P/&amp;N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一工区</vt:lpstr>
      <vt:lpstr>二工区</vt:lpstr>
      <vt:lpstr>三工区</vt:lpstr>
      <vt:lpstr>四工区</vt:lpstr>
      <vt:lpstr>二工区!Print_Area</vt:lpstr>
      <vt:lpstr>三工区!Print_Area</vt:lpstr>
      <vt:lpstr>一工区!Print_Area</vt:lpstr>
      <vt:lpstr>二工区!Print_Titles</vt:lpstr>
      <vt:lpstr>三工区!Print_Titles</vt:lpstr>
      <vt:lpstr>四工区!Print_Titles</vt:lpstr>
      <vt:lpstr>一工区!Print_Titles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2020-08-03T06:34:55Z</cp:lastPrinted>
  <dcterms:created xsi:type="dcterms:W3CDTF">2020-02-19T11:30:00Z</dcterms:created>
  <dcterms:modified xsi:type="dcterms:W3CDTF">2020-08-03T06:39:07Z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false</vt:bool>
  </property>
</Properties>
</file>