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中央分隔带" sheetId="4" r:id="rId1"/>
  </sheets>
  <definedNames>
    <definedName name="_xlnm.Print_Titles" localSheetId="0">中央分隔带!$1:$5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<sst xmlns="http://schemas.openxmlformats.org/spreadsheetml/2006/main" count="130" uniqueCount="102">
  <si>
    <t>横峰县通达西大道新建工程
中央分隔带劳务分包招标控制价工程量清单</t>
  </si>
  <si>
    <t>细目号</t>
  </si>
  <si>
    <t>细目名称</t>
  </si>
  <si>
    <t>单位</t>
  </si>
  <si>
    <t>暂定数量</t>
  </si>
  <si>
    <t>清单合价</t>
  </si>
  <si>
    <t>材料成本</t>
  </si>
  <si>
    <t>项目部总成本</t>
  </si>
  <si>
    <t>项目部利润率</t>
  </si>
  <si>
    <t>合约部总成本</t>
  </si>
  <si>
    <t>项目经理部测算</t>
  </si>
  <si>
    <t>合约部</t>
  </si>
  <si>
    <t>单价（元）</t>
  </si>
  <si>
    <t>合价（元）</t>
  </si>
  <si>
    <t>主要工作内容</t>
  </si>
  <si>
    <t>计量规则</t>
  </si>
  <si>
    <t>综合单价（元）</t>
  </si>
  <si>
    <t>单价组成解释</t>
  </si>
  <si>
    <t>单价</t>
  </si>
  <si>
    <t>合价</t>
  </si>
  <si>
    <t>合约部核减</t>
  </si>
  <si>
    <t>单价解释</t>
  </si>
  <si>
    <t>102-3</t>
  </si>
  <si>
    <t>安全经费</t>
  </si>
  <si>
    <t>总额</t>
  </si>
  <si>
    <t>按直接费用的1.5%计取。</t>
  </si>
  <si>
    <t>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</si>
  <si>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t>本项是在本劳务分包工程量清单各细目综合单价中已包含安全经费的基础上综合考虑再增设的费用。本细目按计量进度支付，各项安全警示标志、导向牌等安全设施安放到位、施工车辆及设备证件齐全、操作人员持证上岗，满足甲方要求的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拌合站安全标识标牌由甲方一次性提供外（拌合站施工过程中需补充的小型标识标牌及移动安全设施由乙方提供及实施），其余摊铺现场（摊铺点前后各200m）小型安全标识标牌（尺寸小于等于1.2m）、安全锥、夜间移动警示灯等及所有人工、材料（含安全设施的设置、维护、维修需要的小型材料等）、设备（含吊车、挖机、发电机及施工用电设施及甲方提供的安全设施的安装、维护、维修等）等均由乙方提供及实施。本项目严禁使用三轮车、农用车等带车厢车辆接送人员。</t>
  </si>
  <si>
    <r>
      <rPr>
        <sz val="10"/>
        <rFont val="NSimSun"/>
        <charset val="134"/>
      </rPr>
      <t>313-5</t>
    </r>
  </si>
  <si>
    <r>
      <rPr>
        <sz val="10"/>
        <rFont val="NSimSun"/>
        <charset val="134"/>
      </rPr>
      <t>路缘石</t>
    </r>
  </si>
  <si>
    <r>
      <rPr>
        <sz val="10"/>
        <rFont val="NSimSun"/>
        <charset val="134"/>
      </rPr>
      <t>-a</t>
    </r>
  </si>
  <si>
    <t>C25混凝土缘石
滑模机现浇（0.2*0.31）</t>
  </si>
  <si>
    <r>
      <rPr>
        <sz val="10"/>
        <rFont val="NSimSun"/>
        <charset val="134"/>
      </rPr>
      <t>m</t>
    </r>
  </si>
  <si>
    <t>解释：（c25砼440元/m3*0.72*0.055+劳务费19元/m）*1.085*1.09=43.1元/m</t>
  </si>
  <si>
    <t>解释：（材料费21.52元/m+劳务费12.73元/m）*1.085*1.09=40.51元/m</t>
  </si>
  <si>
    <t>同意合约部意见</t>
  </si>
  <si>
    <t>乙方负责：砼采购及拌制、场地清理；材料运输、挂线、铺筑、养护、切缝等所有与路缘石相关的工作内容。砼需干硬后切缝，不允许铺筑后紧接着切缝。</t>
  </si>
  <si>
    <t>依据图纸所示位置及断面尺寸，并经现场实际验收合格按双方核定的设计（含变更设计）内的数量以m（单边）为单位计量；所有材料（含塑料薄膜等）、设备（滑模机）、安全防护等均由乙方提供及实施，费用已含在综合单价中，不另行计量。</t>
  </si>
  <si>
    <r>
      <rPr>
        <sz val="10"/>
        <rFont val="NSimSun"/>
        <charset val="134"/>
      </rPr>
      <t>-b</t>
    </r>
  </si>
  <si>
    <r>
      <rPr>
        <sz val="10"/>
        <rFont val="NSimSun"/>
        <charset val="134"/>
      </rPr>
      <t>花岗岩缘石安装（</t>
    </r>
    <r>
      <rPr>
        <sz val="10"/>
        <rFont val="宋体"/>
        <charset val="134"/>
      </rPr>
      <t>0.2*0.39</t>
    </r>
    <r>
      <rPr>
        <sz val="10"/>
        <rFont val="NSimSun"/>
        <charset val="134"/>
      </rPr>
      <t>）</t>
    </r>
  </si>
  <si>
    <t>解释：人工费22元+卸车费1.5元/m+砂浆2元*1.085*1.09=30.2元/m</t>
  </si>
  <si>
    <t>解释：（人工费17.94元/m+砂浆0.86元/m）*1.085*1.09=22.24元/m</t>
  </si>
  <si>
    <t>甲方负责：花岗岩路缘石
乙方负责：花岗岩路缘石安装、转角圆弧裁制、砂浆采购及拌制、场内运输所需的机械设备等所有与路缘石有关的工作内容。负责直至竣工验收合格前的一切相关事项。</t>
  </si>
  <si>
    <t>依据图纸所示位置及断面尺寸，并经现场实际验收合格按双方核定的设计（含变更设计）内的数量以个为单位计量；除路缘石由甲方提供其余所有材料（含调平用的砂浆等）、转角圆弧裁制、设备（含叉车、吊车、挖机、发电机及施工用电设施等）、安全防护及交通维护设施等均由乙方提供及实施，费用已含在综合单价中，不另行计量。</t>
  </si>
  <si>
    <r>
      <rPr>
        <sz val="10"/>
        <rFont val="NSimSun"/>
        <charset val="134"/>
      </rPr>
      <t>313-6</t>
    </r>
  </si>
  <si>
    <r>
      <rPr>
        <sz val="10"/>
        <rFont val="NSimSun"/>
        <charset val="134"/>
      </rPr>
      <t>安全岛路面</t>
    </r>
  </si>
  <si>
    <t>厚6CM吸水砖</t>
  </si>
  <si>
    <r>
      <rPr>
        <sz val="10"/>
        <rFont val="NSimSun"/>
        <charset val="134"/>
      </rPr>
      <t>m2</t>
    </r>
  </si>
  <si>
    <t>解释：人工费12元/m2+砂浆4.8元/m2*1.085*1.09=19.9元/m2</t>
  </si>
  <si>
    <t>解释：（人工费18.63元/m2+砂浆6.44元/m2）*1.085*1.09=29.65元/m</t>
  </si>
  <si>
    <t>甲方负责：吸水砖
乙方负责：吸水砖安装、砂浆采购及拌制、场内运输所需的机械设备等所有与吸水砖有关的工作内容。负责直至竣工验收合格前的一切相关事项。</t>
  </si>
  <si>
    <t>依据图纸所示位置及断面尺寸，并经现场实际验收合格按双方核定的设计（含变更设计）内的数量以m2为单位计量；除吸水砖由甲方提供，所有材料（含调平用的砂浆等）、设备（含吊车、挖机、发电机及施工用电设施等）、安全防护及交通维护设施等均由乙方提供及实施，费用已含在综合单价中，不另行计量。</t>
  </si>
  <si>
    <r>
      <rPr>
        <sz val="10"/>
        <rFont val="NSimSun"/>
        <charset val="134"/>
      </rPr>
      <t>-c</t>
    </r>
  </si>
  <si>
    <t>厚15CM C20透水砼</t>
  </si>
  <si>
    <t>解释：清工9元/m2*管理费1.085*税金1.09＝10.6元/m2</t>
  </si>
  <si>
    <t>解释：(清工4.9元/m2+场地平整1.83元/m3)*管理费1.085*税金1.09.＝7.96元/m2</t>
  </si>
  <si>
    <t>甲方负责：提供砼
乙方负责：1.检查、清理、清扫、清洗、清除下承层上的浮土、杂物、摊铺前洒水湿润，下承层整修；2.施工点通行道路洒水抑尘、摊铺；3.整平、整型；4.洒水、碾压、整修、养护等所有与透水混凝土有关的工作内容。</t>
  </si>
  <si>
    <t>按设计图纸所示位置及甲方技术交底图示尺寸并经现场验收合格的按照铺筑的顶面面积按双方核定的设计（含变更设计）内的数量以m2为单位计量。除透水砼外，施工产生的所有消耗性材料、设备、安全防护设施、安全维护、安全人员、机械设备进出场等均由乙方提供及实施，费用已含在综合单价中，不另行计量。</t>
  </si>
  <si>
    <t>路面及中央分隔带排水</t>
  </si>
  <si>
    <r>
      <rPr>
        <sz val="10"/>
        <rFont val="NSimSun"/>
        <charset val="134"/>
      </rPr>
      <t>314-3</t>
    </r>
  </si>
  <si>
    <t>中央分隔带排水(集水井)</t>
  </si>
  <si>
    <t>集水井
（0.49*0.49*0.36）</t>
  </si>
  <si>
    <r>
      <rPr>
        <sz val="10"/>
        <rFont val="NSimSun"/>
        <charset val="134"/>
      </rPr>
      <t>个</t>
    </r>
  </si>
  <si>
    <t>解释：（采购135元/个+安装费5元/个）*管理费1.085*税金1.09＝165.5元/个</t>
  </si>
  <si>
    <t>解释：采购价由物管部询价，同意项目部安装费</t>
  </si>
  <si>
    <t>乙方负责：基坑开挖及废方弃运；地基平整夯实，垫层及基础施工；集水井预制模板制作、安装、拆除、修理；钢筋制作与安装；混凝土浇筑、振捣、养护；预制集水井吊装、运输、安装；井壁外围回填，夯实；HDPE管埋设与接头处理。</t>
  </si>
  <si>
    <t>依据图纸所示位置及断面尺寸，并经现场实际验收合格按双方核定的设计（含变更设计）内的数量以个为单位计量；除工作内容约定由甲方提供并实施的项目外，其余所有材料（含混凝土或成品集水井、沥青麻絮等）、设备（含吊车、挖机、发电机及施工用电设施等）、安全防护等均由乙方提供及实施，费用已含在综合单价中，不另行计量。基坑开挖土石方已含在综合单价中，不另行计价。</t>
  </si>
  <si>
    <t>C20砼回填</t>
  </si>
  <si>
    <r>
      <rPr>
        <sz val="10"/>
        <rFont val="NSimSun"/>
        <charset val="134"/>
      </rPr>
      <t>m3</t>
    </r>
  </si>
  <si>
    <t>解释：清工55元/m3*管理费1.085*税金1.09＝65元/m3</t>
  </si>
  <si>
    <t>解释：同意项目部单价</t>
  </si>
  <si>
    <t>甲方负责：提供砼
乙方负责：含基坑开挖及废方弃运；清理下承层、人工配合、养护、抹面，负责直至竣工验收合格前的一切相关事项。如特殊原因甲方需赶工期加快进度要求乙方增加路面施工的机械设备，乙方必须服从。</t>
  </si>
  <si>
    <t>依据图纸所示位置及断面尺寸，并经现场实际验收合格按双方核定的设计（含变更设计）内的数量以m3为单位计量；除工作内容约定由甲方提供并实施的项目外，其余所有材料、设备（含吊车、挖机、发电机及施工用电设施等）、安全防护等均由乙方提供及实施，费用已含在综合单价中，不另行计量。</t>
  </si>
  <si>
    <r>
      <rPr>
        <sz val="10"/>
        <rFont val="NSimSun"/>
        <charset val="134"/>
      </rPr>
      <t>-d</t>
    </r>
  </si>
  <si>
    <r>
      <rPr>
        <sz val="10"/>
        <rFont val="NSimSun"/>
        <charset val="134"/>
      </rPr>
      <t>Φ10CM软式透水管</t>
    </r>
  </si>
  <si>
    <t>解释：采购价5.5元/m+安装费1元/m*管理费1.085*税金1.09＝7.7元/m</t>
  </si>
  <si>
    <t>乙方负责：透水管采购、运输及安装。</t>
  </si>
  <si>
    <t>依据图纸所示位置及断面尺寸，并经现场实际验收合格按双方核定的设计（含变更设计）内的数量以m为单位计量；除工作内容约定由甲方提供并实施的项目外，其余所有材料、设备（含吊车、挖机、发电机及施工用电设施等）、安全防护等均由乙方提供及实施，费用已含在综合单价中，不另行计量。</t>
  </si>
  <si>
    <r>
      <rPr>
        <sz val="10"/>
        <rFont val="NSimSun"/>
        <charset val="134"/>
      </rPr>
      <t>-e</t>
    </r>
  </si>
  <si>
    <t>Φ10CM HDPE管4.2</t>
  </si>
  <si>
    <t>解释：采购价16.8元/m+安装费1元/m*管理费1.085*税金1.09＝21元/m</t>
  </si>
  <si>
    <r>
      <rPr>
        <sz val="10"/>
        <rFont val="宋体"/>
        <charset val="134"/>
      </rPr>
      <t>解释：（基坑开挖及回填3.8元/m+采购价7.5元/m+</t>
    </r>
    <r>
      <rPr>
        <sz val="10"/>
        <rFont val="宋体"/>
        <charset val="134"/>
      </rPr>
      <t>安装费1元/m）*管理费1.085*税金1.09＝</t>
    </r>
    <r>
      <rPr>
        <sz val="10"/>
        <rFont val="宋体"/>
        <charset val="134"/>
      </rPr>
      <t>14.55</t>
    </r>
    <r>
      <rPr>
        <sz val="10"/>
        <rFont val="宋体"/>
        <charset val="134"/>
      </rPr>
      <t>元/m</t>
    </r>
  </si>
  <si>
    <t>乙方负责：HDPE管采购、运输及安装。</t>
  </si>
  <si>
    <r>
      <rPr>
        <sz val="10"/>
        <rFont val="NSimSun"/>
        <charset val="134"/>
      </rPr>
      <t>-g</t>
    </r>
  </si>
  <si>
    <r>
      <rPr>
        <sz val="10"/>
        <rFont val="NSimSun"/>
        <charset val="134"/>
      </rPr>
      <t>碎石盲沟</t>
    </r>
  </si>
  <si>
    <t>解释：（人工费300元/天/200m*12天+机械130元/小时*8小时/1300m*2天）*管理费1.085*税金1.09＝23.2元/m3</t>
  </si>
  <si>
    <r>
      <rPr>
        <sz val="10"/>
        <rFont val="宋体"/>
        <charset val="134"/>
      </rPr>
      <t>解释：劳务费10.97</t>
    </r>
    <r>
      <rPr>
        <sz val="10"/>
        <rFont val="宋体"/>
        <charset val="134"/>
      </rPr>
      <t>1元/m</t>
    </r>
    <r>
      <rPr>
        <sz val="10"/>
        <rFont val="宋体"/>
        <charset val="134"/>
      </rPr>
      <t>3</t>
    </r>
    <r>
      <rPr>
        <sz val="10"/>
        <rFont val="宋体"/>
        <charset val="134"/>
      </rPr>
      <t>*管理费1.085*税金1.09＝</t>
    </r>
    <r>
      <rPr>
        <sz val="10"/>
        <rFont val="宋体"/>
        <charset val="134"/>
      </rPr>
      <t>12.97元/m3</t>
    </r>
  </si>
  <si>
    <t>甲方负责：碎石
乙方负责：含碎石场内运输；基底翻松、压实；临时排水；分层摊铺整形；洒水、压实（含小型夯实机夯实）等所有与回填有关的工作内容。</t>
  </si>
  <si>
    <t>依据图纸所示位置及断面尺寸，并经现场实际验收合格按双方核定的设计（含变更设计）内的数量以m3为单位计量；除工作内容约定碎石由甲方提供并实施的项目外，其余所有材料、设备（含吊车、挖机、发电机及施工用电设施等）、安全防护等均由乙方提供及实施，费用已含在综合单价中，不另行计量。</t>
  </si>
  <si>
    <r>
      <rPr>
        <sz val="10"/>
        <rFont val="NSimSun"/>
        <charset val="134"/>
      </rPr>
      <t>-h</t>
    </r>
  </si>
  <si>
    <t>沥青夹层土工布</t>
  </si>
  <si>
    <t>解释：采购费3.8元/m2+安装费1元/m2*管理费1.085*税金1.09＝5.7元/m2</t>
  </si>
  <si>
    <t>乙方负责：土工布采购、场内运输及安装。</t>
  </si>
  <si>
    <t>依据图纸所示位置及断面尺寸，并经现场实际验收合格按双方核定的设计（含变更设计）内的数量以m2为单位计量；除工作内容约定由甲方提供并实施的项目外，其余所有材料、设备（含吊车、挖机、发电机及施工用电设施等）、安全防护等均由乙方提供及实施，费用已含在综合单价中，不另行计量。</t>
  </si>
  <si>
    <r>
      <rPr>
        <sz val="10"/>
        <rFont val="NSimSun"/>
        <charset val="134"/>
      </rPr>
      <t>-j</t>
    </r>
  </si>
  <si>
    <t>培清表土(机械）</t>
  </si>
  <si>
    <t>解释：清工19.4元/m3*管理费1.085*税金1.09.＝22.9元/m3</t>
  </si>
  <si>
    <t>解释：(培土清工11.46元/m3+开挖土方(含500m运费)5.5元/m3+1km运费1.32元/m3)*管理费1.085*税金1.09＝21.62元/m3</t>
  </si>
  <si>
    <t>甲方负责：提供取土场，平均运距约1.5km
乙方负责：土方开挖、土方运输、土方回填、修整、清理现场等所有与培土相关的内容。</t>
  </si>
  <si>
    <t>依据图纸所示位置和断面尺寸并经现场实际验收合格，按图示设计（含变更设计）内的数量以m3为单位计量；计量时须提供现场测量、签认的映像资料。所有人工、材料、设备安全防护及交通维护措施、二次搬运等费用已含在综合单价中，不另行计量。单价内已包含小型机械压实及必要时人工夯实，不另行计价。</t>
  </si>
  <si>
    <t>合计</t>
  </si>
  <si>
    <t>备注：
    本次招标项目要求施工队必须配备足够的现场技术人员（其中：至少配备1名专业测量技术人员,及至少配备GPS（或全站仪）和水准测量仪器各1台，1名安全员，1名计量工程师，1名劳动专员；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上述因素所产生的费用包含在综合单价内。
    1、以上综合单价均包含税金（乙方须向甲方提供正式的“增值税专用发票”、发票税目为“工程服务”，发票税率为“9%”，若发票税率不为9%时，按照实际税率进行核增或核减)。
    2、上述项目单价已充分考虑本项目的施工特点（如机械使用低、二次装运、行车干扰等可能会出现的窝工和误工等费用），因此在项目实施中不考虑任何原因的费用和工期索赔。
    3、乙方在施工过程中应充分了解当地水系，负责及时满足当地村民灌溉、排水排洪所需。
    4、本工程乙方所开挖的土、石方其所有权归甲方所有，甲方有权对其进行处理及利用于它处，乙方仅只有开挖权没有使用土、石的权力（如乙方需利用于本项目，需征得甲方负责人的同意方能使用），如乙方未征得甲方的同意私自调运出本工区外使用，甲方将在乙方结算款中扣除乙方私自调运出本工区外的土石方费用（按130元/m3×私自运出本工区外土石数量计算得出的费用），乙方应知悉并同意本条款。
    5、上述清单中车辆进出施工现场清洗费用（含社会车辆）已含在综合单价中，不另行计价。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</si>
</sst>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0_ "/>
    <numFmt numFmtId="178" formatCode="0.0"/>
    <numFmt numFmtId="179" formatCode="0_ "/>
    <numFmt numFmtId="180" formatCode="0.00_ "/>
  </numFmts>
  <fonts count="35">
    <font>
      <sz val="11"/>
      <color theme="1"/>
      <name val="宋体"/>
      <charset val="134"/>
      <scheme val="minor"/>
    </font>
    <font>
      <sz val="10"/>
      <color rgb="FF000000"/>
      <name val="等线"/>
      <charset val="134"/>
    </font>
    <font>
      <sz val="11"/>
      <color theme="1"/>
      <name val="等线"/>
      <charset val="134"/>
    </font>
    <font>
      <b/>
      <sz val="20"/>
      <color rgb="FF000000"/>
      <name val="等线"/>
      <charset val="134"/>
    </font>
    <font>
      <b/>
      <sz val="12"/>
      <color rgb="FF000000"/>
      <name val="仿宋"/>
      <charset val="134"/>
    </font>
    <font>
      <sz val="10"/>
      <name val="宋体"/>
      <charset val="134"/>
    </font>
    <font>
      <sz val="10"/>
      <color theme="1"/>
      <name val="宋体"/>
      <charset val="134"/>
      <scheme val="minor"/>
    </font>
    <font>
      <sz val="10"/>
      <name val="NSimSun"/>
      <charset val="134"/>
    </font>
    <font>
      <sz val="11"/>
      <color rgb="FF000000"/>
      <name val="Arial"/>
      <charset val="134"/>
    </font>
    <font>
      <sz val="9"/>
      <color rgb="FF000000"/>
      <name val="Arial"/>
      <charset val="134"/>
    </font>
    <font>
      <sz val="11"/>
      <color rgb="FF000000"/>
      <name val="宋体"/>
      <charset val="134"/>
    </font>
    <font>
      <sz val="10"/>
      <name val="宋体"/>
      <charset val="134"/>
      <scheme val="minor"/>
    </font>
    <font>
      <sz val="10"/>
      <color rgb="FF000000"/>
      <name val="宋体"/>
      <charset val="134"/>
    </font>
    <font>
      <sz val="10"/>
      <name val="等线"/>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6" borderId="10" applyNumberFormat="0" applyAlignment="0" applyProtection="0">
      <alignment vertical="center"/>
    </xf>
    <xf numFmtId="0" fontId="24" fillId="7" borderId="11" applyNumberFormat="0" applyAlignment="0" applyProtection="0">
      <alignment vertical="center"/>
    </xf>
    <xf numFmtId="0" fontId="25" fillId="7" borderId="10" applyNumberFormat="0" applyAlignment="0" applyProtection="0">
      <alignment vertical="center"/>
    </xf>
    <xf numFmtId="0" fontId="26" fillId="8"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alignment vertical="center"/>
    </xf>
    <xf numFmtId="176"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cellStyleXfs>
  <cellXfs count="55">
    <xf numFmtId="0" fontId="0" fillId="0" borderId="0" xfId="0">
      <alignment vertical="center"/>
    </xf>
    <xf numFmtId="0" fontId="1" fillId="2" borderId="0" xfId="0" applyFont="1" applyFill="1" applyBorder="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5" fillId="3" borderId="1" xfId="5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77" fontId="7" fillId="3" borderId="1" xfId="51"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8" fillId="3" borderId="1" xfId="0" applyFont="1" applyFill="1" applyBorder="1" applyAlignment="1">
      <alignment horizontal="left" vertical="top" wrapText="1"/>
    </xf>
    <xf numFmtId="178" fontId="9" fillId="3" borderId="1" xfId="0" applyNumberFormat="1" applyFont="1" applyFill="1" applyBorder="1" applyAlignment="1">
      <alignment vertical="center" wrapText="1"/>
    </xf>
    <xf numFmtId="0" fontId="8" fillId="3" borderId="1" xfId="0" applyFont="1" applyFill="1" applyBorder="1" applyAlignment="1">
      <alignment horizontal="center" vertical="center" wrapText="1"/>
    </xf>
    <xf numFmtId="0" fontId="2" fillId="0" borderId="1" xfId="0" applyFont="1" applyFill="1" applyBorder="1" applyAlignment="1">
      <alignment horizontal="center" vertical="center"/>
    </xf>
    <xf numFmtId="177" fontId="7"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9" fontId="7" fillId="0" borderId="1" xfId="51"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178" fontId="9" fillId="0" borderId="1" xfId="0" applyNumberFormat="1" applyFont="1" applyFill="1" applyBorder="1" applyAlignment="1">
      <alignment horizontal="center" vertical="center" wrapText="1"/>
    </xf>
    <xf numFmtId="180" fontId="10" fillId="2" borderId="4" xfId="0" applyNumberFormat="1" applyFont="1" applyFill="1" applyBorder="1" applyAlignment="1">
      <alignment horizontal="left" vertical="top" wrapText="1"/>
    </xf>
    <xf numFmtId="180" fontId="10" fillId="2" borderId="5" xfId="0" applyNumberFormat="1" applyFont="1" applyFill="1" applyBorder="1" applyAlignment="1">
      <alignment horizontal="left" vertical="top" wrapText="1"/>
    </xf>
    <xf numFmtId="180" fontId="4" fillId="2" borderId="1" xfId="53" applyNumberFormat="1"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11" fillId="3" borderId="1" xfId="54" applyFont="1" applyFill="1" applyBorder="1" applyAlignment="1">
      <alignment horizontal="center" vertical="center" wrapText="1"/>
    </xf>
    <xf numFmtId="0" fontId="11" fillId="4" borderId="1" xfId="54" applyFont="1" applyFill="1" applyBorder="1" applyAlignment="1">
      <alignment horizontal="center" vertical="center" wrapText="1"/>
    </xf>
    <xf numFmtId="177" fontId="5" fillId="4" borderId="1" xfId="51" applyNumberFormat="1" applyFont="1" applyFill="1" applyBorder="1" applyAlignment="1">
      <alignment horizontal="center" vertical="center" wrapText="1"/>
    </xf>
    <xf numFmtId="178" fontId="9" fillId="0" borderId="1" xfId="0" applyNumberFormat="1" applyFont="1" applyFill="1" applyBorder="1" applyAlignment="1">
      <alignment vertical="center" wrapText="1"/>
    </xf>
    <xf numFmtId="0" fontId="1" fillId="0" borderId="1" xfId="52"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1" xfId="53" applyFont="1" applyFill="1" applyBorder="1" applyAlignment="1">
      <alignment vertical="center" wrapText="1"/>
    </xf>
    <xf numFmtId="0" fontId="4" fillId="0" borderId="2" xfId="53" applyFont="1" applyFill="1" applyBorder="1" applyAlignment="1">
      <alignment horizontal="center" vertical="center" wrapText="1"/>
    </xf>
    <xf numFmtId="0" fontId="4" fillId="0" borderId="3" xfId="53" applyFont="1" applyFill="1" applyBorder="1" applyAlignment="1">
      <alignment horizontal="center" vertical="center" wrapText="1"/>
    </xf>
    <xf numFmtId="0" fontId="2" fillId="2" borderId="1" xfId="0" applyFont="1" applyFill="1" applyBorder="1" applyAlignment="1">
      <alignment horizontal="center" vertical="center"/>
    </xf>
    <xf numFmtId="0" fontId="6" fillId="3" borderId="1" xfId="53" applyFont="1" applyFill="1" applyBorder="1" applyAlignment="1">
      <alignment horizontal="center" vertical="center" wrapText="1"/>
    </xf>
    <xf numFmtId="0" fontId="6" fillId="3" borderId="1" xfId="0" applyFont="1" applyFill="1" applyBorder="1" applyAlignment="1">
      <alignment horizontal="left" vertical="center" wrapText="1"/>
    </xf>
    <xf numFmtId="0" fontId="12" fillId="3" borderId="1" xfId="49" applyFont="1" applyFill="1" applyBorder="1" applyAlignment="1">
      <alignment horizontal="center" vertical="center" wrapText="1"/>
    </xf>
    <xf numFmtId="0" fontId="12" fillId="3" borderId="1" xfId="49" applyFont="1" applyFill="1" applyBorder="1" applyAlignment="1">
      <alignment vertical="center" wrapText="1"/>
    </xf>
    <xf numFmtId="0" fontId="12" fillId="0" borderId="1" xfId="49" applyFont="1" applyFill="1" applyBorder="1" applyAlignment="1">
      <alignment horizontal="center" vertical="center" wrapText="1"/>
    </xf>
    <xf numFmtId="0" fontId="5" fillId="0" borderId="1" xfId="54" applyFont="1" applyFill="1" applyBorder="1" applyAlignment="1">
      <alignment vertical="center" wrapText="1"/>
    </xf>
    <xf numFmtId="0" fontId="12" fillId="0" borderId="1" xfId="49" applyFont="1" applyFill="1" applyBorder="1" applyAlignment="1">
      <alignment vertical="center" wrapText="1"/>
    </xf>
    <xf numFmtId="0" fontId="12" fillId="0" borderId="1" xfId="0" applyFont="1" applyFill="1" applyBorder="1" applyAlignment="1">
      <alignment vertical="center" wrapText="1"/>
    </xf>
    <xf numFmtId="0" fontId="5" fillId="0" borderId="1" xfId="54" applyFont="1" applyFill="1" applyBorder="1" applyAlignment="1">
      <alignment horizontal="center" vertical="center" wrapText="1"/>
    </xf>
    <xf numFmtId="0" fontId="13" fillId="0" borderId="1" xfId="54" applyFont="1" applyFill="1" applyBorder="1" applyAlignment="1">
      <alignment vertical="center" wrapText="1"/>
    </xf>
    <xf numFmtId="0" fontId="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80" fontId="10" fillId="2" borderId="6" xfId="0" applyNumberFormat="1" applyFont="1" applyFill="1" applyBorder="1" applyAlignment="1">
      <alignment horizontal="left" vertical="top" wrapText="1"/>
    </xf>
    <xf numFmtId="0" fontId="2" fillId="0" borderId="0" xfId="0" applyFont="1" applyFill="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0 2 2 2 3 3 2" xfId="50"/>
    <cellStyle name="常规 2 2" xfId="51"/>
    <cellStyle name="常规 3" xfId="52"/>
    <cellStyle name="常规 5" xfId="53"/>
    <cellStyle name="常规 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6"/>
  <sheetViews>
    <sheetView tabSelected="1" zoomScale="70" zoomScaleNormal="70" workbookViewId="0">
      <selection activeCell="Y6" sqref="Y6"/>
    </sheetView>
  </sheetViews>
  <sheetFormatPr defaultColWidth="0.5" defaultRowHeight="14.25"/>
  <cols>
    <col min="1" max="1" width="10.875" style="3" customWidth="1"/>
    <col min="2" max="2" width="22.875" style="3" customWidth="1"/>
    <col min="3" max="3" width="5" style="3" customWidth="1"/>
    <col min="4" max="4" width="9.75" style="3" customWidth="1"/>
    <col min="5" max="10" width="9.75" style="3" hidden="1" customWidth="1"/>
    <col min="11" max="11" width="10.75" style="3" hidden="1" customWidth="1"/>
    <col min="12" max="12" width="13.125" style="3" hidden="1" customWidth="1"/>
    <col min="13" max="13" width="42" style="3" hidden="1" customWidth="1"/>
    <col min="14" max="14" width="13.75" style="3" hidden="1" customWidth="1"/>
    <col min="15" max="16" width="13.5" style="3" hidden="1" customWidth="1"/>
    <col min="17" max="17" width="26.875" style="3" hidden="1" customWidth="1"/>
    <col min="18" max="19" width="26.875" style="3" customWidth="1"/>
    <col min="20" max="20" width="26.875" style="3" hidden="1" customWidth="1"/>
    <col min="21" max="21" width="39.875" style="3" customWidth="1"/>
    <col min="22" max="22" width="48.5" style="3" customWidth="1"/>
    <col min="23" max="39" width="9.125" style="3" customWidth="1"/>
    <col min="40" max="16384" width="0.5" style="3"/>
  </cols>
  <sheetData>
    <row r="1" spans="1:22">
      <c r="A1" s="4" t="s">
        <v>0</v>
      </c>
      <c r="B1" s="5"/>
      <c r="C1" s="5"/>
      <c r="D1" s="5"/>
      <c r="E1" s="5"/>
      <c r="F1" s="5"/>
      <c r="G1" s="5"/>
      <c r="H1" s="5"/>
      <c r="I1" s="5"/>
      <c r="J1" s="5"/>
      <c r="K1" s="5"/>
      <c r="L1" s="5"/>
      <c r="M1" s="5"/>
      <c r="N1" s="5"/>
      <c r="O1" s="5"/>
      <c r="P1" s="5"/>
      <c r="Q1" s="5"/>
      <c r="R1" s="5"/>
      <c r="S1" s="5"/>
      <c r="T1" s="5"/>
      <c r="U1" s="5"/>
      <c r="V1" s="5"/>
    </row>
    <row r="2" spans="1:22">
      <c r="A2" s="5"/>
      <c r="B2" s="5"/>
      <c r="C2" s="5"/>
      <c r="D2" s="5"/>
      <c r="E2" s="5"/>
      <c r="F2" s="5"/>
      <c r="G2" s="5"/>
      <c r="H2" s="5"/>
      <c r="I2" s="5"/>
      <c r="J2" s="5"/>
      <c r="K2" s="5"/>
      <c r="L2" s="5"/>
      <c r="M2" s="5"/>
      <c r="N2" s="5"/>
      <c r="O2" s="5"/>
      <c r="P2" s="5"/>
      <c r="Q2" s="5"/>
      <c r="R2" s="5"/>
      <c r="S2" s="5"/>
      <c r="T2" s="5"/>
      <c r="U2" s="5"/>
      <c r="V2" s="5"/>
    </row>
    <row r="3" ht="39" customHeight="1" spans="1:22">
      <c r="A3" s="5"/>
      <c r="B3" s="5"/>
      <c r="C3" s="5"/>
      <c r="D3" s="5"/>
      <c r="E3" s="5"/>
      <c r="F3" s="5"/>
      <c r="G3" s="5"/>
      <c r="H3" s="5"/>
      <c r="I3" s="5"/>
      <c r="J3" s="5"/>
      <c r="K3" s="5"/>
      <c r="L3" s="5"/>
      <c r="M3" s="5"/>
      <c r="N3" s="5"/>
      <c r="O3" s="5"/>
      <c r="P3" s="5"/>
      <c r="Q3" s="5"/>
      <c r="R3" s="5"/>
      <c r="S3" s="5"/>
      <c r="T3" s="5"/>
      <c r="U3" s="5"/>
      <c r="V3" s="5"/>
    </row>
    <row r="4" s="1" customFormat="1" spans="1:22">
      <c r="A4" s="6" t="s">
        <v>1</v>
      </c>
      <c r="B4" s="6" t="s">
        <v>2</v>
      </c>
      <c r="C4" s="6" t="s">
        <v>3</v>
      </c>
      <c r="D4" s="6" t="s">
        <v>4</v>
      </c>
      <c r="E4" s="7" t="s">
        <v>5</v>
      </c>
      <c r="F4" s="7" t="s">
        <v>6</v>
      </c>
      <c r="G4" s="8" t="s">
        <v>7</v>
      </c>
      <c r="H4" s="8" t="s">
        <v>8</v>
      </c>
      <c r="I4" s="8" t="s">
        <v>9</v>
      </c>
      <c r="J4" s="8" t="s">
        <v>8</v>
      </c>
      <c r="K4" s="27" t="s">
        <v>10</v>
      </c>
      <c r="L4" s="28"/>
      <c r="M4" s="28"/>
      <c r="N4" s="28" t="s">
        <v>11</v>
      </c>
      <c r="O4" s="28"/>
      <c r="P4" s="28"/>
      <c r="Q4" s="28"/>
      <c r="R4" s="36" t="s">
        <v>12</v>
      </c>
      <c r="S4" s="36" t="s">
        <v>13</v>
      </c>
      <c r="T4" s="37"/>
      <c r="U4" s="38" t="s">
        <v>14</v>
      </c>
      <c r="V4" s="38" t="s">
        <v>15</v>
      </c>
    </row>
    <row r="5" s="1" customFormat="1" ht="28.5" spans="1:22">
      <c r="A5" s="6"/>
      <c r="B5" s="6"/>
      <c r="C5" s="6"/>
      <c r="D5" s="6"/>
      <c r="E5" s="9"/>
      <c r="F5" s="9"/>
      <c r="G5" s="10"/>
      <c r="H5" s="10"/>
      <c r="I5" s="10"/>
      <c r="J5" s="10"/>
      <c r="K5" s="27" t="s">
        <v>16</v>
      </c>
      <c r="L5" s="28" t="s">
        <v>13</v>
      </c>
      <c r="M5" s="29" t="s">
        <v>17</v>
      </c>
      <c r="N5" s="30" t="s">
        <v>18</v>
      </c>
      <c r="O5" s="30" t="s">
        <v>19</v>
      </c>
      <c r="P5" s="30" t="s">
        <v>20</v>
      </c>
      <c r="Q5" s="30" t="s">
        <v>21</v>
      </c>
      <c r="R5" s="30"/>
      <c r="S5" s="30"/>
      <c r="T5" s="30" t="s">
        <v>21</v>
      </c>
      <c r="U5" s="39"/>
      <c r="V5" s="39"/>
    </row>
    <row r="6" s="2" customFormat="1" ht="249" customHeight="1" spans="1:22">
      <c r="A6" s="11" t="s">
        <v>22</v>
      </c>
      <c r="B6" s="11" t="s">
        <v>23</v>
      </c>
      <c r="C6" s="11" t="s">
        <v>24</v>
      </c>
      <c r="D6" s="11">
        <v>1</v>
      </c>
      <c r="E6" s="11"/>
      <c r="F6" s="11"/>
      <c r="G6" s="11"/>
      <c r="H6" s="11"/>
      <c r="I6" s="11"/>
      <c r="J6" s="11"/>
      <c r="K6" s="11">
        <f>ROUND(SUM(L7:L21)*0.015,0)</f>
        <v>5611</v>
      </c>
      <c r="L6" s="11">
        <f>ROUND(K6*D6,0)</f>
        <v>5611</v>
      </c>
      <c r="M6" s="11" t="s">
        <v>25</v>
      </c>
      <c r="N6" s="11">
        <f>ROUND(SUM(O7:O21)*0.015,0)</f>
        <v>5265</v>
      </c>
      <c r="O6" s="11">
        <f>ROUND(N6*D6,0)</f>
        <v>5265</v>
      </c>
      <c r="P6" s="11">
        <f>O6-L6</f>
        <v>-346</v>
      </c>
      <c r="Q6" s="11" t="s">
        <v>25</v>
      </c>
      <c r="R6" s="11">
        <f>ROUND(SUM(S7:S21)*0.015,0)</f>
        <v>5262</v>
      </c>
      <c r="S6" s="11">
        <f>R6</f>
        <v>5262</v>
      </c>
      <c r="T6" s="11" t="s">
        <v>25</v>
      </c>
      <c r="U6" s="11" t="s">
        <v>26</v>
      </c>
      <c r="V6" s="11" t="s">
        <v>27</v>
      </c>
    </row>
    <row r="7" ht="12" customHeight="1" spans="1:22">
      <c r="A7" s="11" t="s">
        <v>28</v>
      </c>
      <c r="B7" s="11" t="s">
        <v>29</v>
      </c>
      <c r="C7" s="11"/>
      <c r="D7" s="11"/>
      <c r="E7" s="11"/>
      <c r="F7" s="11"/>
      <c r="G7" s="11"/>
      <c r="H7" s="11"/>
      <c r="I7" s="11"/>
      <c r="J7" s="11"/>
      <c r="K7" s="11"/>
      <c r="L7" s="11"/>
      <c r="M7" s="11"/>
      <c r="N7" s="11"/>
      <c r="O7" s="11"/>
      <c r="P7" s="11"/>
      <c r="Q7" s="11"/>
      <c r="R7" s="11"/>
      <c r="S7" s="11"/>
      <c r="T7" s="11"/>
      <c r="U7" s="40"/>
      <c r="V7" s="40"/>
    </row>
    <row r="8" ht="125.1" customHeight="1" spans="1:22">
      <c r="A8" s="12" t="s">
        <v>30</v>
      </c>
      <c r="B8" s="13" t="s">
        <v>31</v>
      </c>
      <c r="C8" s="12" t="s">
        <v>32</v>
      </c>
      <c r="D8" s="12">
        <v>4546.6</v>
      </c>
      <c r="E8" s="12">
        <v>232740.45</v>
      </c>
      <c r="F8" s="12"/>
      <c r="G8" s="12">
        <f>F8+L8</f>
        <v>195958.46</v>
      </c>
      <c r="H8" s="12">
        <f>(E8-G8)/E8</f>
        <v>0.158038664959185</v>
      </c>
      <c r="I8" s="12">
        <f>F8+O8</f>
        <v>184182.766</v>
      </c>
      <c r="J8" s="12">
        <f>(E8-I8)/E8</f>
        <v>0.208634485324747</v>
      </c>
      <c r="K8" s="31">
        <v>43.1</v>
      </c>
      <c r="L8" s="12">
        <f>D8*K8</f>
        <v>195958.46</v>
      </c>
      <c r="M8" s="31" t="s">
        <v>33</v>
      </c>
      <c r="N8" s="32">
        <v>40.51</v>
      </c>
      <c r="O8" s="33">
        <f>D8*N8</f>
        <v>184182.766</v>
      </c>
      <c r="P8" s="33">
        <f>O8-L8</f>
        <v>-11775.694</v>
      </c>
      <c r="Q8" s="33" t="s">
        <v>34</v>
      </c>
      <c r="R8" s="12">
        <f>N8</f>
        <v>40.51</v>
      </c>
      <c r="S8" s="12">
        <f>R8*D8</f>
        <v>184182.766</v>
      </c>
      <c r="T8" s="12" t="s">
        <v>35</v>
      </c>
      <c r="U8" s="41" t="s">
        <v>36</v>
      </c>
      <c r="V8" s="42" t="s">
        <v>37</v>
      </c>
    </row>
    <row r="9" ht="101.1" customHeight="1" spans="1:22">
      <c r="A9" s="12" t="s">
        <v>38</v>
      </c>
      <c r="B9" s="14" t="s">
        <v>39</v>
      </c>
      <c r="C9" s="12" t="s">
        <v>32</v>
      </c>
      <c r="D9" s="12">
        <v>403.33</v>
      </c>
      <c r="E9" s="12">
        <v>21537.82</v>
      </c>
      <c r="F9" s="12">
        <f>105*D9</f>
        <v>42349.65</v>
      </c>
      <c r="G9" s="12">
        <f>F9+L9</f>
        <v>54513.10472475</v>
      </c>
      <c r="H9" s="12">
        <f>(E9-G9)/E9</f>
        <v>-1.53104096536929</v>
      </c>
      <c r="I9" s="12">
        <f>F9+O9</f>
        <v>51319.7092</v>
      </c>
      <c r="J9" s="12">
        <f>(E9-I9)/E9</f>
        <v>-1.38277175684447</v>
      </c>
      <c r="K9" s="12">
        <f>25.5*1.085*1.09</f>
        <v>30.157575</v>
      </c>
      <c r="L9" s="12">
        <f>D9*K9</f>
        <v>12163.45472475</v>
      </c>
      <c r="M9" s="12" t="s">
        <v>40</v>
      </c>
      <c r="N9" s="33">
        <v>22.24</v>
      </c>
      <c r="O9" s="33">
        <f>D9*N9</f>
        <v>8970.0592</v>
      </c>
      <c r="P9" s="33">
        <f>O9-L9</f>
        <v>-3193.39552475</v>
      </c>
      <c r="Q9" s="33" t="s">
        <v>41</v>
      </c>
      <c r="R9" s="12">
        <f>N9</f>
        <v>22.24</v>
      </c>
      <c r="S9" s="12">
        <f>R9*D9</f>
        <v>8970.0592</v>
      </c>
      <c r="T9" s="12" t="s">
        <v>35</v>
      </c>
      <c r="U9" s="43" t="s">
        <v>42</v>
      </c>
      <c r="V9" s="44" t="s">
        <v>43</v>
      </c>
    </row>
    <row r="10" spans="1:22">
      <c r="A10" s="15" t="s">
        <v>44</v>
      </c>
      <c r="B10" s="12" t="s">
        <v>45</v>
      </c>
      <c r="C10" s="16"/>
      <c r="D10" s="17"/>
      <c r="E10" s="17"/>
      <c r="F10" s="17"/>
      <c r="G10" s="12"/>
      <c r="H10" s="12"/>
      <c r="I10" s="12"/>
      <c r="J10" s="12"/>
      <c r="K10" s="17"/>
      <c r="L10" s="15"/>
      <c r="M10" s="15"/>
      <c r="N10" s="34"/>
      <c r="O10" s="11"/>
      <c r="P10" s="11"/>
      <c r="Q10" s="40"/>
      <c r="R10" s="17"/>
      <c r="S10" s="12"/>
      <c r="T10" s="15"/>
      <c r="U10" s="43"/>
      <c r="V10" s="15"/>
    </row>
    <row r="11" ht="104.1" customHeight="1" spans="1:22">
      <c r="A11" s="15" t="s">
        <v>30</v>
      </c>
      <c r="B11" s="14" t="s">
        <v>46</v>
      </c>
      <c r="C11" s="18" t="s">
        <v>47</v>
      </c>
      <c r="D11" s="12">
        <v>503.7</v>
      </c>
      <c r="E11" s="12">
        <v>17216.47</v>
      </c>
      <c r="F11" s="12">
        <f>30*D11</f>
        <v>15111</v>
      </c>
      <c r="G11" s="12">
        <f>F11+L11</f>
        <v>25118.773524</v>
      </c>
      <c r="H11" s="12">
        <f>(E11-G11)/E11</f>
        <v>-0.458996735335409</v>
      </c>
      <c r="I11" s="12">
        <f>F11+O11</f>
        <v>30045.705</v>
      </c>
      <c r="J11" s="12">
        <f>(E11-I11)/E11</f>
        <v>-0.745172210098818</v>
      </c>
      <c r="K11" s="12">
        <f>16.8*1.085*1.09</f>
        <v>19.86852</v>
      </c>
      <c r="L11" s="12">
        <f>D11*K11</f>
        <v>10007.773524</v>
      </c>
      <c r="M11" s="12" t="s">
        <v>48</v>
      </c>
      <c r="N11" s="33">
        <v>29.65</v>
      </c>
      <c r="O11" s="33">
        <f>N11*D11</f>
        <v>14934.705</v>
      </c>
      <c r="P11" s="33">
        <f>O11-L11</f>
        <v>4926.931476</v>
      </c>
      <c r="Q11" s="33" t="s">
        <v>49</v>
      </c>
      <c r="R11" s="12">
        <f>N11</f>
        <v>29.65</v>
      </c>
      <c r="S11" s="12">
        <f>R11*D11</f>
        <v>14934.705</v>
      </c>
      <c r="T11" s="11" t="s">
        <v>35</v>
      </c>
      <c r="U11" s="43" t="s">
        <v>50</v>
      </c>
      <c r="V11" s="44" t="s">
        <v>51</v>
      </c>
    </row>
    <row r="12" ht="96" customHeight="1" spans="1:22">
      <c r="A12" s="19" t="s">
        <v>52</v>
      </c>
      <c r="B12" s="20" t="s">
        <v>53</v>
      </c>
      <c r="C12" s="21" t="s">
        <v>47</v>
      </c>
      <c r="D12" s="11">
        <v>503.7</v>
      </c>
      <c r="E12" s="11">
        <v>44909.89</v>
      </c>
      <c r="F12" s="11">
        <f>420*0.72*D12*0.15</f>
        <v>22847.832</v>
      </c>
      <c r="G12" s="11">
        <f>F12+L12</f>
        <v>28209.139245</v>
      </c>
      <c r="H12" s="11">
        <f>(E12-G12)/E12</f>
        <v>0.371872448474044</v>
      </c>
      <c r="I12" s="11">
        <f>F12+O12</f>
        <v>26857.284</v>
      </c>
      <c r="J12" s="11">
        <f>(E12-I12)/E12</f>
        <v>0.401973952730679</v>
      </c>
      <c r="K12" s="11">
        <f>9*1.085*1.09</f>
        <v>10.64385</v>
      </c>
      <c r="L12" s="11">
        <f>D12*K12</f>
        <v>5361.307245</v>
      </c>
      <c r="M12" s="11" t="s">
        <v>54</v>
      </c>
      <c r="N12" s="11">
        <v>7.96</v>
      </c>
      <c r="O12" s="11">
        <f>D12*N12</f>
        <v>4009.452</v>
      </c>
      <c r="P12" s="11">
        <f>O12-L12</f>
        <v>-1351.855245</v>
      </c>
      <c r="Q12" s="11" t="s">
        <v>55</v>
      </c>
      <c r="R12" s="11">
        <v>7.96</v>
      </c>
      <c r="S12" s="11">
        <f t="shared" ref="S12:S20" si="0">R12*D12</f>
        <v>4009.452</v>
      </c>
      <c r="T12" s="11" t="s">
        <v>35</v>
      </c>
      <c r="U12" s="45" t="s">
        <v>56</v>
      </c>
      <c r="V12" s="46" t="s">
        <v>57</v>
      </c>
    </row>
    <row r="13" spans="1:22">
      <c r="A13" s="22">
        <v>314</v>
      </c>
      <c r="B13" s="11" t="s">
        <v>58</v>
      </c>
      <c r="C13" s="23"/>
      <c r="D13" s="11"/>
      <c r="E13" s="11"/>
      <c r="F13" s="11"/>
      <c r="G13" s="11"/>
      <c r="H13" s="11"/>
      <c r="I13" s="11"/>
      <c r="J13" s="11"/>
      <c r="K13" s="11"/>
      <c r="L13" s="11"/>
      <c r="M13" s="11"/>
      <c r="N13" s="11"/>
      <c r="O13" s="11"/>
      <c r="P13" s="11"/>
      <c r="Q13" s="11"/>
      <c r="R13" s="11"/>
      <c r="S13" s="11"/>
      <c r="T13" s="11"/>
      <c r="U13" s="11"/>
      <c r="V13" s="46"/>
    </row>
    <row r="14" spans="1:22">
      <c r="A14" s="11" t="s">
        <v>59</v>
      </c>
      <c r="B14" s="11" t="s">
        <v>60</v>
      </c>
      <c r="C14" s="23"/>
      <c r="D14" s="11"/>
      <c r="E14" s="11"/>
      <c r="F14" s="11"/>
      <c r="G14" s="11"/>
      <c r="H14" s="11"/>
      <c r="I14" s="11"/>
      <c r="J14" s="11"/>
      <c r="K14" s="11"/>
      <c r="L14" s="11"/>
      <c r="M14" s="11"/>
      <c r="N14" s="11"/>
      <c r="O14" s="11"/>
      <c r="P14" s="11"/>
      <c r="Q14" s="11"/>
      <c r="R14" s="11"/>
      <c r="S14" s="11"/>
      <c r="T14" s="11"/>
      <c r="U14" s="11"/>
      <c r="V14" s="46"/>
    </row>
    <row r="15" ht="99" customHeight="1" spans="1:22">
      <c r="A15" s="11" t="s">
        <v>30</v>
      </c>
      <c r="B15" s="20" t="s">
        <v>61</v>
      </c>
      <c r="C15" s="21" t="s">
        <v>62</v>
      </c>
      <c r="D15" s="11">
        <v>73</v>
      </c>
      <c r="E15" s="11">
        <v>121034</v>
      </c>
      <c r="F15" s="11"/>
      <c r="G15" s="11">
        <f t="shared" ref="G15:G21" si="1">F15+L15</f>
        <v>12081.5</v>
      </c>
      <c r="H15" s="11">
        <f t="shared" ref="H15:H22" si="2">(E15-G15)/E15</f>
        <v>0.900180940892642</v>
      </c>
      <c r="I15" s="11">
        <f t="shared" ref="I15:I21" si="3">F15+O15</f>
        <v>12081.5</v>
      </c>
      <c r="J15" s="11">
        <f t="shared" ref="J15:J22" si="4">(E15-I15)/E15</f>
        <v>0.900180940892642</v>
      </c>
      <c r="K15" s="35">
        <v>165.5</v>
      </c>
      <c r="L15" s="11">
        <f t="shared" ref="L15:L21" si="5">D15*K15</f>
        <v>12081.5</v>
      </c>
      <c r="M15" s="11" t="s">
        <v>63</v>
      </c>
      <c r="N15" s="35">
        <v>165.5</v>
      </c>
      <c r="O15" s="11">
        <f t="shared" ref="O15:O21" si="6">D15*N15</f>
        <v>12081.5</v>
      </c>
      <c r="P15" s="11">
        <f t="shared" ref="P15:P22" si="7">O15-L15</f>
        <v>0</v>
      </c>
      <c r="Q15" s="11" t="s">
        <v>64</v>
      </c>
      <c r="R15" s="35">
        <v>165.5</v>
      </c>
      <c r="S15" s="11">
        <f t="shared" si="0"/>
        <v>12081.5</v>
      </c>
      <c r="T15" s="11" t="s">
        <v>35</v>
      </c>
      <c r="U15" s="45" t="s">
        <v>65</v>
      </c>
      <c r="V15" s="47" t="s">
        <v>66</v>
      </c>
    </row>
    <row r="16" ht="99" customHeight="1" spans="1:22">
      <c r="A16" s="11" t="s">
        <v>52</v>
      </c>
      <c r="B16" s="11" t="s">
        <v>67</v>
      </c>
      <c r="C16" s="21" t="s">
        <v>68</v>
      </c>
      <c r="D16" s="11">
        <v>134.9</v>
      </c>
      <c r="E16" s="11">
        <v>119993.55</v>
      </c>
      <c r="F16" s="11">
        <f>420*0.72*D16</f>
        <v>40793.76</v>
      </c>
      <c r="G16" s="11">
        <f t="shared" si="1"/>
        <v>49562.26</v>
      </c>
      <c r="H16" s="11">
        <f t="shared" si="2"/>
        <v>0.586958965711074</v>
      </c>
      <c r="I16" s="11">
        <f t="shared" si="3"/>
        <v>49562.26</v>
      </c>
      <c r="J16" s="11">
        <f t="shared" si="4"/>
        <v>0.586958965711074</v>
      </c>
      <c r="K16" s="11">
        <v>65</v>
      </c>
      <c r="L16" s="11">
        <f t="shared" si="5"/>
        <v>8768.5</v>
      </c>
      <c r="M16" s="11" t="s">
        <v>69</v>
      </c>
      <c r="N16" s="11">
        <v>65</v>
      </c>
      <c r="O16" s="11">
        <f t="shared" si="6"/>
        <v>8768.5</v>
      </c>
      <c r="P16" s="11">
        <f t="shared" si="7"/>
        <v>0</v>
      </c>
      <c r="Q16" s="11" t="s">
        <v>70</v>
      </c>
      <c r="R16" s="11">
        <v>65</v>
      </c>
      <c r="S16" s="11">
        <f t="shared" si="0"/>
        <v>8768.5</v>
      </c>
      <c r="T16" s="11" t="s">
        <v>35</v>
      </c>
      <c r="U16" s="11" t="s">
        <v>71</v>
      </c>
      <c r="V16" s="48" t="s">
        <v>72</v>
      </c>
    </row>
    <row r="17" ht="99" customHeight="1" spans="1:22">
      <c r="A17" s="11" t="s">
        <v>73</v>
      </c>
      <c r="B17" s="11" t="s">
        <v>74</v>
      </c>
      <c r="C17" s="21" t="s">
        <v>32</v>
      </c>
      <c r="D17" s="11">
        <v>2483.5</v>
      </c>
      <c r="E17" s="11">
        <v>60200.04</v>
      </c>
      <c r="F17" s="11"/>
      <c r="G17" s="11">
        <f t="shared" si="1"/>
        <v>19091.2232875</v>
      </c>
      <c r="H17" s="11">
        <f t="shared" si="2"/>
        <v>0.682870255775578</v>
      </c>
      <c r="I17" s="11">
        <f t="shared" si="3"/>
        <v>19091.2232875</v>
      </c>
      <c r="J17" s="11">
        <f t="shared" si="4"/>
        <v>0.682870255775578</v>
      </c>
      <c r="K17" s="11">
        <f>6.5*1.085*1.09</f>
        <v>7.687225</v>
      </c>
      <c r="L17" s="11">
        <f t="shared" si="5"/>
        <v>19091.2232875</v>
      </c>
      <c r="M17" s="11" t="s">
        <v>75</v>
      </c>
      <c r="N17" s="11">
        <f>6.5*1.085*1.09</f>
        <v>7.687225</v>
      </c>
      <c r="O17" s="11">
        <f t="shared" si="6"/>
        <v>19091.2232875</v>
      </c>
      <c r="P17" s="11">
        <f t="shared" si="7"/>
        <v>0</v>
      </c>
      <c r="Q17" s="11" t="s">
        <v>64</v>
      </c>
      <c r="R17" s="11">
        <f>6.5*1.085*1.09</f>
        <v>7.687225</v>
      </c>
      <c r="S17" s="11">
        <f t="shared" si="0"/>
        <v>19091.2232875</v>
      </c>
      <c r="T17" s="11" t="s">
        <v>35</v>
      </c>
      <c r="U17" s="49" t="s">
        <v>76</v>
      </c>
      <c r="V17" s="48" t="s">
        <v>77</v>
      </c>
    </row>
    <row r="18" ht="99" customHeight="1" spans="1:22">
      <c r="A18" s="11" t="s">
        <v>78</v>
      </c>
      <c r="B18" s="20" t="s">
        <v>79</v>
      </c>
      <c r="C18" s="21" t="s">
        <v>32</v>
      </c>
      <c r="D18" s="11">
        <v>949</v>
      </c>
      <c r="E18" s="11">
        <v>24370.32</v>
      </c>
      <c r="F18" s="11"/>
      <c r="G18" s="11">
        <f t="shared" si="1"/>
        <v>19885.49784</v>
      </c>
      <c r="H18" s="11">
        <f t="shared" si="2"/>
        <v>0.184028037383177</v>
      </c>
      <c r="I18" s="11">
        <f t="shared" si="3"/>
        <v>13807.95</v>
      </c>
      <c r="J18" s="11">
        <f t="shared" si="4"/>
        <v>0.433411214953271</v>
      </c>
      <c r="K18" s="11">
        <f>17.8*1.08*1.09</f>
        <v>20.95416</v>
      </c>
      <c r="L18" s="11">
        <f t="shared" si="5"/>
        <v>19885.49784</v>
      </c>
      <c r="M18" s="11" t="s">
        <v>80</v>
      </c>
      <c r="N18" s="33">
        <v>14.55</v>
      </c>
      <c r="O18" s="33">
        <f t="shared" si="6"/>
        <v>13807.95</v>
      </c>
      <c r="P18" s="33">
        <f t="shared" si="7"/>
        <v>-6077.54784</v>
      </c>
      <c r="Q18" s="33" t="s">
        <v>81</v>
      </c>
      <c r="R18" s="11">
        <f>N18</f>
        <v>14.55</v>
      </c>
      <c r="S18" s="11">
        <f t="shared" si="0"/>
        <v>13807.95</v>
      </c>
      <c r="T18" s="11" t="s">
        <v>35</v>
      </c>
      <c r="U18" s="49" t="s">
        <v>82</v>
      </c>
      <c r="V18" s="48" t="s">
        <v>77</v>
      </c>
    </row>
    <row r="19" ht="99" customHeight="1" spans="1:22">
      <c r="A19" s="11" t="s">
        <v>83</v>
      </c>
      <c r="B19" s="11" t="s">
        <v>84</v>
      </c>
      <c r="C19" s="21" t="s">
        <v>68</v>
      </c>
      <c r="D19" s="11">
        <v>360.1</v>
      </c>
      <c r="E19" s="11">
        <v>49470.54</v>
      </c>
      <c r="F19" s="11">
        <f>55.52*D19</f>
        <v>19992.752</v>
      </c>
      <c r="G19" s="11">
        <f t="shared" si="1"/>
        <v>28347.072</v>
      </c>
      <c r="H19" s="11">
        <f t="shared" si="2"/>
        <v>0.426990851524968</v>
      </c>
      <c r="I19" s="11">
        <f t="shared" si="3"/>
        <v>24663.249</v>
      </c>
      <c r="J19" s="11">
        <f t="shared" si="4"/>
        <v>0.501455836140054</v>
      </c>
      <c r="K19" s="11">
        <v>23.2</v>
      </c>
      <c r="L19" s="11">
        <f t="shared" si="5"/>
        <v>8354.32</v>
      </c>
      <c r="M19" s="11" t="s">
        <v>85</v>
      </c>
      <c r="N19" s="33">
        <v>12.97</v>
      </c>
      <c r="O19" s="33">
        <f t="shared" si="6"/>
        <v>4670.497</v>
      </c>
      <c r="P19" s="33">
        <f t="shared" si="7"/>
        <v>-3683.823</v>
      </c>
      <c r="Q19" s="33" t="s">
        <v>86</v>
      </c>
      <c r="R19" s="11">
        <f>N19</f>
        <v>12.97</v>
      </c>
      <c r="S19" s="11">
        <f t="shared" si="0"/>
        <v>4670.497</v>
      </c>
      <c r="T19" s="11" t="s">
        <v>35</v>
      </c>
      <c r="U19" s="11" t="s">
        <v>87</v>
      </c>
      <c r="V19" s="48" t="s">
        <v>88</v>
      </c>
    </row>
    <row r="20" ht="99" customHeight="1" spans="1:22">
      <c r="A20" s="11" t="s">
        <v>89</v>
      </c>
      <c r="B20" s="11" t="s">
        <v>90</v>
      </c>
      <c r="C20" s="21" t="s">
        <v>47</v>
      </c>
      <c r="D20" s="11">
        <v>7996.1</v>
      </c>
      <c r="E20" s="11">
        <v>79001.47</v>
      </c>
      <c r="F20" s="11"/>
      <c r="G20" s="11">
        <f t="shared" si="1"/>
        <v>45391.620792</v>
      </c>
      <c r="H20" s="11">
        <f t="shared" si="2"/>
        <v>0.425433212926291</v>
      </c>
      <c r="I20" s="11">
        <f t="shared" si="3"/>
        <v>45577.77</v>
      </c>
      <c r="J20" s="11">
        <f t="shared" si="4"/>
        <v>0.423076937682299</v>
      </c>
      <c r="K20" s="11">
        <f>4.8*1.085*1.09</f>
        <v>5.67672</v>
      </c>
      <c r="L20" s="11">
        <f t="shared" si="5"/>
        <v>45391.620792</v>
      </c>
      <c r="M20" s="11" t="s">
        <v>91</v>
      </c>
      <c r="N20" s="12">
        <v>5.7</v>
      </c>
      <c r="O20" s="12">
        <f t="shared" si="6"/>
        <v>45577.77</v>
      </c>
      <c r="P20" s="12">
        <f t="shared" si="7"/>
        <v>186.149208000003</v>
      </c>
      <c r="Q20" s="11" t="s">
        <v>70</v>
      </c>
      <c r="R20" s="11">
        <f>4.8*1.085*1.09</f>
        <v>5.67672</v>
      </c>
      <c r="S20" s="11">
        <f t="shared" si="0"/>
        <v>45391.620792</v>
      </c>
      <c r="T20" s="11" t="s">
        <v>35</v>
      </c>
      <c r="U20" s="49" t="s">
        <v>92</v>
      </c>
      <c r="V20" s="48" t="s">
        <v>93</v>
      </c>
    </row>
    <row r="21" ht="99" customHeight="1" spans="1:22">
      <c r="A21" s="11" t="s">
        <v>94</v>
      </c>
      <c r="B21" s="20" t="s">
        <v>95</v>
      </c>
      <c r="C21" s="21" t="s">
        <v>68</v>
      </c>
      <c r="D21" s="11">
        <v>1614</v>
      </c>
      <c r="E21" s="11">
        <v>4842</v>
      </c>
      <c r="F21" s="11"/>
      <c r="G21" s="11">
        <f t="shared" si="1"/>
        <v>37030.66374</v>
      </c>
      <c r="H21" s="11">
        <f t="shared" si="2"/>
        <v>-6.64780333333333</v>
      </c>
      <c r="I21" s="11">
        <f t="shared" si="3"/>
        <v>34894.68</v>
      </c>
      <c r="J21" s="11">
        <f t="shared" si="4"/>
        <v>-6.20666666666667</v>
      </c>
      <c r="K21" s="11">
        <f>19.4*1.085*1.09</f>
        <v>22.94341</v>
      </c>
      <c r="L21" s="11">
        <f t="shared" si="5"/>
        <v>37030.66374</v>
      </c>
      <c r="M21" s="11" t="s">
        <v>96</v>
      </c>
      <c r="N21" s="11">
        <v>21.62</v>
      </c>
      <c r="O21" s="11">
        <f t="shared" si="6"/>
        <v>34894.68</v>
      </c>
      <c r="P21" s="11">
        <f t="shared" si="7"/>
        <v>-2135.98374</v>
      </c>
      <c r="Q21" s="11" t="s">
        <v>97</v>
      </c>
      <c r="R21" s="11">
        <v>21.62</v>
      </c>
      <c r="S21" s="11">
        <f>O21</f>
        <v>34894.68</v>
      </c>
      <c r="T21" s="11" t="s">
        <v>35</v>
      </c>
      <c r="U21" s="49" t="s">
        <v>98</v>
      </c>
      <c r="V21" s="46" t="s">
        <v>99</v>
      </c>
    </row>
    <row r="22" ht="45.95" customHeight="1" spans="1:22">
      <c r="A22" s="11"/>
      <c r="B22" s="11" t="s">
        <v>100</v>
      </c>
      <c r="C22" s="21"/>
      <c r="D22" s="24"/>
      <c r="E22" s="11">
        <f>SUM(E6:E21)</f>
        <v>775316.55</v>
      </c>
      <c r="F22" s="11"/>
      <c r="G22" s="11">
        <f>SUM(G6:G21)</f>
        <v>515189.31515325</v>
      </c>
      <c r="H22" s="11">
        <f t="shared" si="2"/>
        <v>0.335511004952429</v>
      </c>
      <c r="I22" s="11">
        <f>SUM(I6:I21)</f>
        <v>492084.0964875</v>
      </c>
      <c r="J22" s="11">
        <f t="shared" si="4"/>
        <v>0.365312018055722</v>
      </c>
      <c r="K22" s="24"/>
      <c r="L22" s="11">
        <f>SUM(L6:L21)</f>
        <v>379705.32115325</v>
      </c>
      <c r="M22" s="11"/>
      <c r="N22" s="11"/>
      <c r="O22" s="11">
        <f>SUM(O6:O21)</f>
        <v>356254.1024875</v>
      </c>
      <c r="P22" s="11">
        <f t="shared" si="7"/>
        <v>-23451.2186657501</v>
      </c>
      <c r="Q22" s="50"/>
      <c r="R22" s="50"/>
      <c r="S22" s="11">
        <f>SUM(S6:S21)</f>
        <v>356064.9532795</v>
      </c>
      <c r="T22" s="50"/>
      <c r="U22" s="51"/>
      <c r="V22" s="52"/>
    </row>
    <row r="23" ht="165" customHeight="1" spans="1:22">
      <c r="A23" s="25" t="s">
        <v>101</v>
      </c>
      <c r="B23" s="26"/>
      <c r="C23" s="26"/>
      <c r="D23" s="26"/>
      <c r="E23" s="26"/>
      <c r="F23" s="26"/>
      <c r="G23" s="26"/>
      <c r="H23" s="26"/>
      <c r="I23" s="26"/>
      <c r="J23" s="26"/>
      <c r="K23" s="26"/>
      <c r="L23" s="26"/>
      <c r="M23" s="26"/>
      <c r="N23" s="26"/>
      <c r="O23" s="26"/>
      <c r="P23" s="26"/>
      <c r="Q23" s="26"/>
      <c r="R23" s="26"/>
      <c r="S23" s="26"/>
      <c r="T23" s="26"/>
      <c r="U23" s="26"/>
      <c r="V23" s="53"/>
    </row>
    <row r="24" ht="165" customHeight="1"/>
    <row r="25" ht="206.1" customHeight="1" spans="18:18">
      <c r="R25" s="54"/>
    </row>
    <row r="26" ht="165" customHeight="1"/>
  </sheetData>
  <mergeCells count="18">
    <mergeCell ref="K4:M4"/>
    <mergeCell ref="N4:Q4"/>
    <mergeCell ref="A23:V23"/>
    <mergeCell ref="A4:A5"/>
    <mergeCell ref="B4:B5"/>
    <mergeCell ref="C4:C5"/>
    <mergeCell ref="D4:D5"/>
    <mergeCell ref="E4:E5"/>
    <mergeCell ref="F4:F5"/>
    <mergeCell ref="G4:G5"/>
    <mergeCell ref="H4:H5"/>
    <mergeCell ref="I4:I5"/>
    <mergeCell ref="J4:J5"/>
    <mergeCell ref="R4:R5"/>
    <mergeCell ref="S4:S5"/>
    <mergeCell ref="U4:U5"/>
    <mergeCell ref="V4:V5"/>
    <mergeCell ref="A1:V3"/>
  </mergeCells>
  <pageMargins left="0.751388888888889" right="0.751388888888889" top="1" bottom="1" header="0.5" footer="0.5"/>
  <pageSetup paperSize="8"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中央分隔带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33902</dc:creator>
  <cp:lastModifiedBy>admin</cp:lastModifiedBy>
  <dcterms:created xsi:type="dcterms:W3CDTF">2024-11-14T02:45:00Z</dcterms:created>
  <dcterms:modified xsi:type="dcterms:W3CDTF">2025-02-17T07:17:09Z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2DD773FF9F61415A81B7C8159D7E3235_13</vt:lpwstr>
  </property>
  <property fmtid="{D5CDD505-2E9C-101B-9397-08002B2CF9AE}" pid="3" name="KSOProductBuildVer">
    <vt:lpwstr>2052-12.1.0.19770</vt:lpwstr>
  </property>
</Properties>
</file>