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bookViews>
    <workbookView xWindow="0" yWindow="0" windowWidth="24240" windowHeight="12960"/>
  </bookViews>
  <sheets>
    <sheet name="Sheet1" sheetId="1" r:id="rId1"/>
    <sheet name="Sheet2" sheetId="2" r:id="rId2"/>
  </sheets>
  <definedNames>
    <definedName name="_xlnm.Print_Area" localSheetId="0">Sheet1!$A$1:$I$25</definedName>
    <definedName name="_xlnm.Print_Titles" localSheetId="0">Sheet1!$1:$2</definedName>
  </definedName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1" i="2" l="1"/>
  <c r="H41" i="2"/>
  <c r="J35" i="2"/>
  <c r="J34" i="2"/>
  <c r="J32" i="2"/>
  <c r="K31" i="2"/>
  <c r="J31" i="2"/>
  <c r="K30" i="2"/>
  <c r="J30" i="2"/>
  <c r="J28" i="2"/>
  <c r="J27" i="2"/>
  <c r="J26" i="2"/>
  <c r="J24" i="2"/>
  <c r="J23" i="2"/>
  <c r="J22" i="2"/>
  <c r="J20" i="2"/>
  <c r="K19" i="2"/>
  <c r="J19" i="2"/>
  <c r="K18" i="2"/>
  <c r="J18" i="2"/>
  <c r="E17" i="2"/>
  <c r="J16" i="2"/>
  <c r="E16" i="2"/>
  <c r="K15" i="2"/>
  <c r="J15" i="2"/>
  <c r="E15" i="2"/>
  <c r="K14" i="2"/>
  <c r="J14" i="2"/>
  <c r="J12" i="2"/>
  <c r="F12" i="2"/>
  <c r="E12" i="2"/>
  <c r="J11" i="2"/>
  <c r="F11" i="2"/>
  <c r="E11" i="2"/>
  <c r="J7" i="2"/>
  <c r="E7" i="2"/>
  <c r="K6" i="2"/>
  <c r="J6" i="2"/>
  <c r="F6" i="2"/>
  <c r="E6" i="2"/>
  <c r="K5" i="2"/>
  <c r="F5" i="2"/>
  <c r="E5" i="2"/>
  <c r="Z3" i="2"/>
  <c r="Y3" i="2"/>
  <c r="W3" i="2"/>
  <c r="V3" i="2"/>
  <c r="T3" i="2"/>
  <c r="S3" i="2"/>
  <c r="R3" i="2"/>
  <c r="Q3" i="2"/>
  <c r="P3" i="2"/>
  <c r="O3" i="2"/>
  <c r="N3" i="2"/>
  <c r="M3" i="2"/>
  <c r="L3" i="2"/>
  <c r="K3" i="2"/>
  <c r="J3" i="2"/>
  <c r="I3" i="2"/>
  <c r="G3" i="2"/>
  <c r="F3" i="2"/>
  <c r="E3" i="2"/>
  <c r="D3" i="2"/>
  <c r="C3" i="2"/>
  <c r="F24" i="1"/>
  <c r="F23" i="1"/>
  <c r="F22" i="1"/>
  <c r="F21" i="1"/>
  <c r="F20" i="1"/>
  <c r="F18" i="1"/>
  <c r="F17" i="1"/>
  <c r="F16" i="1"/>
  <c r="F15" i="1"/>
  <c r="F14" i="1"/>
  <c r="F13" i="1"/>
  <c r="F12" i="1"/>
  <c r="F11" i="1"/>
  <c r="D11" i="1"/>
  <c r="F10" i="1"/>
  <c r="F9" i="1"/>
  <c r="F8" i="1"/>
  <c r="F7" i="1"/>
  <c r="F5" i="1"/>
  <c r="E5" i="1"/>
  <c r="F4" i="1"/>
  <c r="E4" i="1"/>
</calcChain>
</file>

<file path=xl/sharedStrings.xml><?xml version="1.0" encoding="utf-8"?>
<sst xmlns="http://schemas.openxmlformats.org/spreadsheetml/2006/main" count="171" uniqueCount="120">
  <si>
    <t>细目号</t>
  </si>
  <si>
    <t>细目名称</t>
  </si>
  <si>
    <t>单位</t>
  </si>
  <si>
    <t>暂定工程量</t>
  </si>
  <si>
    <t>单价（元）</t>
  </si>
  <si>
    <t>合价</t>
  </si>
  <si>
    <t>主要工作内容</t>
  </si>
  <si>
    <t>计量规则</t>
  </si>
  <si>
    <t>备注</t>
  </si>
  <si>
    <t>1、总则</t>
  </si>
  <si>
    <t>1</t>
  </si>
  <si>
    <t>安全生产及行车干扰费及施工环保费</t>
  </si>
  <si>
    <t>项</t>
  </si>
  <si>
    <t xml:space="preserve">    作业人员安全帽、反光衣、人身保险费，施工现场安全围挡、安全标识标牌、安全锥等安全设施设置、维护及转场，洒水降尘，安全锥、限速牌、导向牌、警示牌、爆闪灯按甲方要求购置，施工路段交通指挥、疏导（乙方（乙方每个施工点（每天24小时）必须配备至少2名以上安全员及交通维护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</si>
  <si>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围挡随施工点搬迁的费用等）等均由乙方提供及实施（人身保险费等），费用已含在综合单价中，不另行计量。施工过程中甲方仅只提供公里桩、公告牌、限高架，乙方应对甲方提供的安全设施进行维护、维修，如损耗过大超过10％，则超过的10％的部份由乙方承担费用，甲方将从乙方的计量款中扣除。</t>
  </si>
  <si>
    <t>2</t>
  </si>
  <si>
    <t>施工环保费</t>
  </si>
  <si>
    <t>主线、施工现场等本工区范围内的洒水降尘、河道等水系污染的清理、水土保持、各种污染物、噪声、有害气体等的处理等与环境保护、文明施工相关的所有工作内容。</t>
  </si>
  <si>
    <t>本项是在本劳务分包工程量清单各细目综合单价中已包含施工环保费用的基础上综合考虑再增设的费用。本细目按计量进度支付，每次计量支付0.1，累计计量支付至0.8，乙方全部完工并撤场后计量支付至0.9，本项目交工验收后计量至1.0。乙方必须满足本工区施工作业点、线内施工便道及线外施工便道的洒水降尘，水土保持、各种污染物、噪声、有害气体等的处理，符合国家对环境保护的要求，保障沿线居民的正常生活，满足施工需要。如乙方不配合，不服从业主、监理或甲方管理人员指挥，甲方将另外组织人员实施，费用甲方直接从乙方的施工环保费中扣除，不足部分则从乙方计量款中扣除。</t>
  </si>
  <si>
    <t>2、土建部分</t>
  </si>
  <si>
    <t>3</t>
  </si>
  <si>
    <t>破除路面</t>
  </si>
  <si>
    <t>m3</t>
  </si>
  <si>
    <r>
      <rPr>
        <sz val="10"/>
        <rFont val="Arial Narrow"/>
      </rPr>
      <t xml:space="preserve">     </t>
    </r>
    <r>
      <rPr>
        <sz val="10"/>
        <rFont val="宋体"/>
        <charset val="134"/>
      </rPr>
      <t>石方机械挖除、清理工作面（含解小至符合填筑要求）；挖、装、场内运输；填料分理、弃土整型、压实；</t>
    </r>
    <r>
      <rPr>
        <sz val="10"/>
        <rFont val="Arial Narrow"/>
      </rPr>
      <t>.</t>
    </r>
    <r>
      <rPr>
        <sz val="10"/>
        <rFont val="宋体"/>
        <charset val="134"/>
      </rPr>
      <t>施工排水处理；路床顶面凿平、顶面凿毛或石渣填平压实、路床清理等所有与破除路面有关的工作内容。</t>
    </r>
  </si>
  <si>
    <r>
      <rPr>
        <sz val="10"/>
        <color rgb="FF000000"/>
        <rFont val="Arial Narrow"/>
      </rPr>
      <t xml:space="preserve">        </t>
    </r>
    <r>
      <rPr>
        <sz val="10"/>
        <color rgb="FF000000"/>
        <rFont val="宋体"/>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t>
    </r>
    <r>
      <rPr>
        <sz val="10"/>
        <color rgb="FF000000"/>
        <rFont val="Arial Narrow"/>
      </rPr>
      <t xml:space="preserve"> </t>
    </r>
    <r>
      <rPr>
        <sz val="10"/>
        <color rgb="FF000000"/>
        <rFont val="宋体"/>
        <charset val="134"/>
      </rPr>
      <t xml:space="preserve">混凝土路面破碎、挖除、台阶开挖等排水、涵洞工程机械开挖石方等费用已含在综合单价中，不另行计量；安全防护及交通维护措施、安全人员、进出车辆冲洗（含社会车辆）等所需费用已含在综合单价中，不另行计量；本项采用非爆破方法开挖，如实际上局部需采用爆破方法开挖，爆破价格已含在综合单价中，不再单独计价。
</t>
    </r>
  </si>
  <si>
    <t>4</t>
  </si>
  <si>
    <t xml:space="preserve">挖土方
</t>
  </si>
  <si>
    <t>沟槽开挖、新旧路衔接等特殊路基台阶设置；挖、装、二次转运；填料分理、弃土石方整型、压实；.施工排水处理；路床顶面以下挖松深 300mm 再压实、路床清理、交工验收等所有与挖土石方有关的工作内容。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</si>
  <si>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沟槽开挖、台阶开挖、路床顶面以下挖松深300mm 再压实、安全防护及交通维护措施费等作为挖土方的附属工作，不另行计量；截水沟等排水等开挖土方费用已含在综合单价中，不另行计量。
</t>
  </si>
  <si>
    <t>5</t>
  </si>
  <si>
    <t xml:space="preserve">挖石方
</t>
  </si>
  <si>
    <t>石方低填浅挖、半填半挖、填挖交界、陡坡地段、新旧路衔接等特殊路基台阶设置；挖、装、二次转运；填料分理、弃土石方整型、压实；.施工排水处理；路床清理、交工验收等所有与挖土石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</si>
  <si>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破碎石方、挖石方、二次转运石方等作为挖石方的附属工作，不另行计量；截水沟等排水等开挖土方费用已含在综合单价中，不另行计量。
</t>
  </si>
  <si>
    <t>6</t>
  </si>
  <si>
    <t>基坑二次转运</t>
  </si>
  <si>
    <t>土方、石方从基坑转运至路面等所有与之有关的工作内容。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</si>
  <si>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挖土方、挖石方等作为挖方的附属工作，不另行计量。
</t>
  </si>
  <si>
    <t>7</t>
  </si>
  <si>
    <t>土石方运输  （15km包干）</t>
  </si>
  <si>
    <t>土方、石方运输至弃土场或用于施工便道便涵填筑及维护、施工便道及本工区社会车辆通行路段及施工点洒水抑尘；施工点运至弃土场沿线道路的清扫、清洗、抑尘；河道等水系污染的清理、水土保持、各种污染物、噪声、有害气体等的处理；弃土场整平及临时排水、弃土场污染处理、弃土整型、压实、进出车辆冲洗（含社会车辆）等所有与之有关的工作内容。</t>
  </si>
  <si>
    <t>依据图纸所示地面线、路基设计横断面图、图纸所示路基土石比例（实际如有不符，不予调整）并经现场实际验收合格，采用平均断面面积法计算，按照天然密实体积按双方核定的实际发生的数量以立方米为单位计量；便道便涵填筑及维护、施工便道及本工区社会车辆通行路段及施工点洒水抑尘、进出车辆冲洗（含社会车辆）等费用已含在综合单价中，不另行计量；安全防护及交通维护措施、安全人员等所需费用已含在综合单价中，不另行计量；如弃土点需乙方整平，增加1.0元/m3的弃土整平及临时排水、污染处理等费用。本单价为运输1km费用（包含车队管理费、车队运输协调费、利润），运输至弃土点运距15km（包干）。</t>
  </si>
  <si>
    <t>8</t>
  </si>
  <si>
    <t>回填土</t>
  </si>
  <si>
    <r>
      <rPr>
        <sz val="10"/>
        <rFont val="Arial Narrow"/>
      </rPr>
      <t xml:space="preserve">    </t>
    </r>
    <r>
      <rPr>
        <sz val="10"/>
        <rFont val="宋体"/>
        <charset val="134"/>
      </rPr>
      <t>基底翻松、压实、挖台阶；</t>
    </r>
    <r>
      <rPr>
        <sz val="10"/>
        <rFont val="Arial Narrow"/>
      </rPr>
      <t>.</t>
    </r>
    <r>
      <rPr>
        <sz val="10"/>
        <rFont val="宋体"/>
        <charset val="134"/>
      </rPr>
      <t>临时排水、</t>
    </r>
    <r>
      <rPr>
        <sz val="10"/>
        <rFont val="Arial Narrow"/>
      </rPr>
      <t xml:space="preserve"> </t>
    </r>
    <r>
      <rPr>
        <sz val="10"/>
        <rFont val="宋体"/>
        <charset val="134"/>
      </rPr>
      <t>翻晒；机械整平、分层摊铺；洒水、压实（含小型机具夯实）、路基补强；路床整型、路床交验、等所有与回填方有关的工作内容。</t>
    </r>
  </si>
  <si>
    <t xml:space="preserve">    依据图纸所示地面线、路基设计横断面图并经现场实际验收合格，按平均断面面积法计算压实的体积，按双方核定的设计（含变更设计）内的数量以立方米为单位计量；满足施工需要，开挖及回填、预留路基宽度宽填的填方量、及台背回填及地面下沉增加的填方量、路基补强所需费用（含大型冲击锤补强，或者采用强夯机夯实发生的费用）、安全防护及交通维护措施、等作为路基填筑的附属工作，费用已含在综合单价中，不另行计量。特别说明：必须严格按照施工规范施工，确保路基压实度符合要求，当甲方发现填方路基完工后沉降可以随时要求乙方配备大型冲击锤补强，或者采用强夯机夯实，发生的费用由乙方承担。</t>
  </si>
  <si>
    <t>9</t>
  </si>
  <si>
    <t>回填砂</t>
  </si>
  <si>
    <t>基坑回填山砂，夯实、埋设标桩；清理，弃方处理等所有与本项有关的内容。</t>
  </si>
  <si>
    <t>本项是在本劳务分包工程量清单各细目综合单价中已包含人工回填夯实的基础上综合考虑再增设的费用。依据图纸所示位置，经现场实际验收合格按双方核定的设计（含变更设计）内的数量以立方米为单位计量；所有人工、材料、机械设备、进出车辆冲洗、安全防护设施、垃圾清运等均由乙方提供及实施，费用已含在综合单价中，不另计量。如乙方实施后造成地面下沉下陷等质量缺陷，所造成的一切经济损失由乙方负责承担。</t>
  </si>
  <si>
    <t>10</t>
  </si>
  <si>
    <t>恢复混凝土路面</t>
  </si>
  <si>
    <t>检查和清理下承层（含底层拉毛、打孔）、洒水湿润；模板制作、架设
、安装、修理、拆除；混凝土浇筑、振捣、真空
吸水、抹平、压(刻)纹，养护：切缝、灌
缝；初期养护等有关的工作内容。</t>
  </si>
  <si>
    <t>依据图纸所示位置及断面尺寸，并经现场实际验收合格按双方核定的设计(含变
更设计)内的数量以立方米为单位计量；除混凝土由甲方提供外其余所有人工、材料(含模板设置材料等)、设备(含吊车、挖机、天泵、地泵、发电机及施工用电设施、台车等)、安全防护等均由乙方提供及实施，费用已含在综合单价中，不另行计量</t>
  </si>
  <si>
    <t>11</t>
  </si>
  <si>
    <t>道路基层恢复</t>
  </si>
  <si>
    <t>12</t>
  </si>
  <si>
    <t>人行道地砖铺设</t>
  </si>
  <si>
    <t>m2</t>
  </si>
  <si>
    <t>场地平整；台阶整形；素砼浇筑；砂浆制备、铺筑、调平；火烧板搬运、铺贴；场地清理等所有与人行道块料铺设有关的工作内容。</t>
  </si>
  <si>
    <t xml:space="preserve"> 依据图纸所示位置及断面尺寸，并经现场实际验收合格按双方核定的设计（含变更设计）内的数量以平方米为单位计量；除火烧板由甲方提供，其余所有材料（含砂浆）、设备、安全防护设施等均由乙方提供及实施，费用已含在综合单价中，不另行计量。</t>
  </si>
  <si>
    <t>13</t>
  </si>
  <si>
    <t>拆除大理石路缘石</t>
  </si>
  <si>
    <r>
      <rPr>
        <sz val="10"/>
        <rFont val="Arial Narrow"/>
      </rPr>
      <t xml:space="preserve">      </t>
    </r>
    <r>
      <rPr>
        <sz val="10"/>
        <rFont val="宋体"/>
        <charset val="134"/>
      </rPr>
      <t>便道、便涵填筑及维护、施工便道及本工区社会车辆通行路段及施工点洒水抑尘；石方机械挖除、清理工作面（含解小至符合填筑要求）；挖、装、运输、卸车；填料分理、弃土整型、压实；</t>
    </r>
    <r>
      <rPr>
        <sz val="10"/>
        <rFont val="Arial Narrow"/>
      </rPr>
      <t>.</t>
    </r>
    <r>
      <rPr>
        <sz val="10"/>
        <rFont val="宋体"/>
        <charset val="134"/>
      </rPr>
      <t>施工排水处理；路床顶面凿平或石渣填平压实、路床清理、进出车辆冲洗（含社会车辆）、交工验收等所有与破除路面有关的工作内容。</t>
    </r>
  </si>
  <si>
    <r>
      <rPr>
        <sz val="10"/>
        <color rgb="FF000000"/>
        <rFont val="Arial Narrow"/>
      </rPr>
      <t xml:space="preserve">        </t>
    </r>
    <r>
      <rPr>
        <sz val="10"/>
        <color rgb="FF000000"/>
        <rFont val="宋体"/>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本工区社会车辆通行路段及施工点洒水抑尘、</t>
    </r>
    <r>
      <rPr>
        <sz val="10"/>
        <color rgb="FF000000"/>
        <rFont val="Arial Narrow"/>
      </rPr>
      <t xml:space="preserve"> </t>
    </r>
    <r>
      <rPr>
        <sz val="10"/>
        <color rgb="FF000000"/>
        <rFont val="宋体"/>
        <charset val="134"/>
      </rPr>
      <t xml:space="preserve">台阶开挖、边沟、排水沟、截水沟、涵洞等排水、涵洞工程开挖石方等费用已含在综合单价中，不另行计量；安全防护及交通维护措施、安全人员、进出车辆冲洗（含社会车辆）等所需费用已含在综合单价中，不另行计量；本项采用非爆破方法开挖，如实际上局部需采用爆破方法开挖，爆破价格已含在综合单价中，不再单独计价。
</t>
    </r>
  </si>
  <si>
    <t>14</t>
  </si>
  <si>
    <t>150×400×800 芝麻白花岗岩路缘石</t>
  </si>
  <si>
    <t>m</t>
  </si>
  <si>
    <t xml:space="preserve">     场地平整；台阶整形；素砼浇筑；砂浆制备、铺筑、调平；砖块搬运、砌筑；场地清理等所有与人行道有关的工作内容。</t>
  </si>
  <si>
    <t xml:space="preserve"> 依据图纸所示位置及断面尺寸，并经现场实际验收合格按双方核定的设计（含变更设计）内的数量以米为单位计量；花岗岩路缘石、（含水泥砂浆）、设备、安全防护设施等均由乙方提供及实施，除管材由甲方提供，其余费用已含在综合单价中，不另行计量。</t>
  </si>
  <si>
    <t>3、雨水部分</t>
  </si>
  <si>
    <t>DN1500混凝土管（II级混凝土管）</t>
  </si>
  <si>
    <t xml:space="preserve">   场地清理；围堰、排水，基坑支护；防水措施;管材运输、卸车、安装、连接等所有与管节安装有关的工作内容。</t>
  </si>
  <si>
    <t xml:space="preserve">    依据图纸所示位置及断面尺寸，并经现场实际验收合格按双方核定的设计（含变更设计）内的数量以米为单位计量；雨水管（DN1500混凝土管（II级混凝土管））由甲方提供外所有设备（含吊车、挖机及施工用电设施等）、安全防护等均由乙方提供及实施，费用已含在综合单价中，不另行计量。</t>
  </si>
  <si>
    <t>雨水检查井（钢筋砼2200*1100）H暂按2m</t>
  </si>
  <si>
    <t>座</t>
  </si>
  <si>
    <t xml:space="preserve">     基槽开挖；浇筑砼垫层，支模、绑扎钢筋、拌混凝土、浇筑混凝土、拆模、井孔口圈和井盖安装；基坑回填土，夯实；清理，弃方处理等所有与本项有关的内容。</t>
  </si>
  <si>
    <t>依据图纸所示位置和规格、型号，经现场实际验收合格按双方核定的设计（含变更设计）内的数量以座为单位计量；除混凝土由甲方提供外所有材料、人工、机械设备、进出车辆冲洗、安全防护设施、井内垃圾清运等均由乙方提供及实施，费用已含在综合单价中，不另计量。</t>
  </si>
  <si>
    <t>雨水检查井（钢筋砼φ2000）H暂按2m</t>
  </si>
  <si>
    <t>混凝土井筒0.4m</t>
  </si>
  <si>
    <t>个</t>
  </si>
  <si>
    <t>混凝土井筒采购、运输、卸车、安装</t>
  </si>
  <si>
    <t>依据图纸所示位置和规格、型号，经现场实际验收合格按双方核定的设计（含变更设计）内的数量以座为单位计量；所有材料、人工、机械设备、进出车辆冲洗、安全防护设施、井内垃圾清运等均由乙方提供及实施，除管材由甲方提供，其余费用已含在综合单价中，不另计量。</t>
  </si>
  <si>
    <t>合计：</t>
  </si>
  <si>
    <t>备注：本次拟招标项目要求施工队必须配备足够的现场技术人员；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结算时提供保险单据原件备查，复印件作为结算附件资料。
上述因素所产生的费用包含在综合单价内。
特别说明：
1、以上综合单价均包含税金（乙方须向甲方提供正式的“增值税专用发票”、发票税目为“工程服务”，发票税率为“9%”；开具税票所需缴纳的一切税费由乙方自行承担)。
2、上述单价包含安全及文明施工费（安全帽、工作服、标志标牌等，现场工作人员人身保险费、交通疏导、交通安全维护等）。
3、上述项目单价已充分考虑本项目的施工特点（如机械使用低、二次装运、可能会出现的窝工和误工等费用），因此在项目实施中不考虑任何原因的费用和工期索赔。
4、本项目为交钥匙工程，乙方完成本项目后，必须经过业主、监理、行业等部门的验收。</t>
  </si>
  <si>
    <t>序号</t>
  </si>
  <si>
    <t>管径（m）</t>
  </si>
  <si>
    <t>管道面积（m2）</t>
  </si>
  <si>
    <t>开挖土方面积（m2）</t>
  </si>
  <si>
    <t>破碎路面面积（m2）</t>
  </si>
  <si>
    <t>回填砂面积（m2）</t>
  </si>
  <si>
    <t>回碎石面积（m2）</t>
  </si>
  <si>
    <t>长度（m）</t>
  </si>
  <si>
    <t>管道面积</t>
  </si>
  <si>
    <t>开挖土方（m3）</t>
  </si>
  <si>
    <t>破碎路面（m3）</t>
  </si>
  <si>
    <t>回填砂（m3）</t>
  </si>
  <si>
    <t>回填砂砾垫层（m3）</t>
  </si>
  <si>
    <t>回填碎石垫层（m3）</t>
  </si>
  <si>
    <t>细沥青恢复（m2）</t>
  </si>
  <si>
    <t>细沥青恢复（m3）</t>
  </si>
  <si>
    <t>中沥青恢复（m2）</t>
  </si>
  <si>
    <t>中沥青恢复（m3）</t>
  </si>
  <si>
    <t>上基层</t>
  </si>
  <si>
    <t>下基层</t>
  </si>
  <si>
    <t>回填土（m3）</t>
  </si>
  <si>
    <t>污水管DN1500（混凝土管）</t>
  </si>
  <si>
    <t>开挖高度暂按m，计算，破碎路面按15cm厚计算，管道开挖宽度按单边80cm计算。</t>
  </si>
  <si>
    <t>雨水检查井14</t>
  </si>
  <si>
    <t>1700*1500</t>
  </si>
  <si>
    <t>S</t>
  </si>
  <si>
    <t>V</t>
  </si>
  <si>
    <t>H</t>
  </si>
  <si>
    <t>4400*3700</t>
  </si>
  <si>
    <t>雨水检查井1</t>
  </si>
  <si>
    <t>雨水检查井2</t>
  </si>
  <si>
    <t>2100*1800</t>
  </si>
  <si>
    <t>1200*1100</t>
  </si>
  <si>
    <t>2000*1500</t>
  </si>
  <si>
    <t>1400*1100</t>
  </si>
  <si>
    <t>上饶市中心城区排水防涝提升工程（明叔大道-解放河泵站）劳务分包招标控制价工程量清单</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</si>
</sst>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8" formatCode="_ [$€-2]* #,##0.00_ ;_ [$€-2]* \-#,##0.00_ ;_ [$€-2]* &quot;-&quot;??_ "/>
    <numFmt numFmtId="179" formatCode="0.00_ "/>
    <numFmt numFmtId="180" formatCode="0.000_ "/>
    <numFmt numFmtId="181" formatCode="0_ "/>
    <numFmt numFmtId="182" formatCode="#,##0.00_ "/>
    <numFmt numFmtId="183" formatCode="0.00_);[Red]\(0.00\)"/>
  </numFmts>
  <fonts count="21">
    <font>
      <sz val="11"/>
      <color theme="1"/>
      <name val="宋体"/>
      <charset val="134"/>
      <scheme val="minor"/>
    </font>
    <font>
      <sz val="10"/>
      <color theme="1"/>
      <name val="宋体"/>
      <charset val="134"/>
      <scheme val="minor"/>
    </font>
    <font>
      <sz val="11"/>
      <color rgb="FF000000"/>
      <name val="Arial"/>
      <charset val="204"/>
    </font>
    <font>
      <b/>
      <sz val="25"/>
      <color theme="1"/>
      <name val="宋体"/>
      <charset val="134"/>
      <scheme val="minor"/>
    </font>
    <font>
      <b/>
      <sz val="10"/>
      <color theme="1"/>
      <name val="宋体"/>
      <charset val="134"/>
      <scheme val="minor"/>
    </font>
    <font>
      <b/>
      <sz val="10"/>
      <name val="宋体"/>
      <charset val="134"/>
    </font>
    <font>
      <sz val="10"/>
      <name val="宋体"/>
      <charset val="134"/>
    </font>
    <font>
      <sz val="10"/>
      <name val="宋体"/>
      <charset val="134"/>
      <scheme val="minor"/>
    </font>
    <font>
      <sz val="10"/>
      <color theme="1"/>
      <name val="宋体"/>
      <charset val="134"/>
    </font>
    <font>
      <sz val="10"/>
      <name val="Arial Narrow"/>
    </font>
    <font>
      <sz val="10"/>
      <color rgb="FF000000"/>
      <name val="Arial Narrow"/>
    </font>
    <font>
      <sz val="10"/>
      <color rgb="FF000000"/>
      <name val="宋体"/>
      <charset val="134"/>
    </font>
    <font>
      <sz val="9"/>
      <name val="宋体"/>
      <charset val="134"/>
    </font>
    <font>
      <sz val="9"/>
      <name val="SimSun"/>
      <charset val="134"/>
    </font>
    <font>
      <sz val="9"/>
      <color rgb="FF000000"/>
      <name val="SimSun"/>
      <charset val="134"/>
    </font>
    <font>
      <sz val="11"/>
      <color theme="1"/>
      <name val="宋体"/>
      <charset val="134"/>
      <scheme val="minor"/>
    </font>
    <font>
      <sz val="11"/>
      <color rgb="FF000000"/>
      <name val="宋体"/>
      <charset val="134"/>
    </font>
    <font>
      <sz val="11"/>
      <color indexed="8"/>
      <name val="宋体"/>
      <charset val="134"/>
    </font>
    <font>
      <sz val="12"/>
      <color rgb="FF000000"/>
      <name val="宋体"/>
      <charset val="134"/>
    </font>
    <font>
      <sz val="12"/>
      <name val="宋体"/>
      <charset val="134"/>
    </font>
    <font>
      <sz val="9"/>
      <name val="宋体"/>
      <charset val="134"/>
      <scheme val="minor"/>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9">
    <xf numFmtId="0" fontId="0"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alignment vertical="center"/>
    </xf>
    <xf numFmtId="0" fontId="15" fillId="0" borderId="0"/>
    <xf numFmtId="0" fontId="15" fillId="0" borderId="0"/>
    <xf numFmtId="0" fontId="15" fillId="0" borderId="0">
      <alignment vertical="center"/>
    </xf>
    <xf numFmtId="0" fontId="15" fillId="0" borderId="0"/>
    <xf numFmtId="0" fontId="15" fillId="0" borderId="0"/>
    <xf numFmtId="0" fontId="15" fillId="0" borderId="0"/>
    <xf numFmtId="178" fontId="16" fillId="0" borderId="0">
      <protection locked="0"/>
    </xf>
    <xf numFmtId="178" fontId="15" fillId="0" borderId="0">
      <alignment vertical="center"/>
    </xf>
    <xf numFmtId="178" fontId="17" fillId="0" borderId="0" applyBorder="0"/>
    <xf numFmtId="178" fontId="15" fillId="0" borderId="0">
      <alignment vertical="center"/>
    </xf>
    <xf numFmtId="178" fontId="15" fillId="0" borderId="0">
      <alignment vertical="center"/>
    </xf>
    <xf numFmtId="0" fontId="18" fillId="0" borderId="0">
      <protection locked="0"/>
    </xf>
    <xf numFmtId="0" fontId="19" fillId="0" borderId="0">
      <protection locked="0"/>
    </xf>
    <xf numFmtId="178" fontId="19" fillId="0" borderId="0">
      <protection locked="0"/>
    </xf>
    <xf numFmtId="178" fontId="16" fillId="0" borderId="0">
      <protection locked="0"/>
    </xf>
    <xf numFmtId="178" fontId="16" fillId="0" borderId="0">
      <protection locked="0"/>
    </xf>
    <xf numFmtId="178" fontId="16" fillId="0" borderId="0">
      <protection locked="0"/>
    </xf>
    <xf numFmtId="178" fontId="16" fillId="0" borderId="0">
      <protection locked="0"/>
    </xf>
    <xf numFmtId="0" fontId="19" fillId="0" borderId="0">
      <protection locked="0"/>
    </xf>
  </cellStyleXfs>
  <cellXfs count="64">
    <xf numFmtId="0" fontId="0" fillId="0" borderId="0" xfId="0">
      <alignment vertical="center"/>
    </xf>
    <xf numFmtId="0" fontId="0" fillId="0" borderId="0" xfId="0" applyAlignment="1">
      <alignment vertical="center" wrapText="1"/>
    </xf>
    <xf numFmtId="179" fontId="0" fillId="0" borderId="0" xfId="0" applyNumberFormat="1" applyAlignment="1">
      <alignment horizontal="center" vertical="center"/>
    </xf>
    <xf numFmtId="179" fontId="0" fillId="0" borderId="0" xfId="0" applyNumberFormat="1">
      <alignment vertical="center"/>
    </xf>
    <xf numFmtId="0" fontId="0" fillId="0" borderId="0" xfId="0" applyAlignment="1">
      <alignment horizontal="center" vertical="center" wrapText="1"/>
    </xf>
    <xf numFmtId="179" fontId="0" fillId="0" borderId="0" xfId="0" applyNumberFormat="1" applyAlignment="1">
      <alignment horizontal="center" vertical="center" wrapText="1"/>
    </xf>
    <xf numFmtId="0" fontId="0" fillId="0" borderId="0" xfId="0" applyAlignment="1">
      <alignment horizontal="center" vertical="center"/>
    </xf>
    <xf numFmtId="180" fontId="0" fillId="0" borderId="0" xfId="0" applyNumberFormat="1" applyAlignment="1">
      <alignment horizontal="center" vertical="center"/>
    </xf>
    <xf numFmtId="0" fontId="1" fillId="0" borderId="0" xfId="0" applyFont="1" applyFill="1" applyAlignment="1">
      <alignment vertical="center"/>
    </xf>
    <xf numFmtId="0" fontId="1" fillId="0" borderId="0" xfId="0" applyFont="1" applyFill="1" applyBorder="1" applyAlignment="1">
      <alignment vertical="center"/>
    </xf>
    <xf numFmtId="0" fontId="2" fillId="0" borderId="0" xfId="0" applyFont="1" applyFill="1" applyAlignment="1">
      <alignment horizontal="left" vertical="top" wrapText="1"/>
    </xf>
    <xf numFmtId="49" fontId="1" fillId="0" borderId="0" xfId="0" applyNumberFormat="1" applyFont="1" applyFill="1" applyAlignment="1">
      <alignment vertical="center"/>
    </xf>
    <xf numFmtId="0" fontId="1" fillId="0" borderId="0" xfId="0" applyFont="1" applyFill="1" applyAlignment="1">
      <alignment horizontal="left" vertical="center"/>
    </xf>
    <xf numFmtId="0" fontId="1" fillId="0" borderId="0" xfId="0" applyFont="1" applyFill="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Font="1" applyFill="1" applyBorder="1" applyAlignment="1">
      <alignment vertical="center"/>
    </xf>
    <xf numFmtId="49" fontId="1" fillId="0" borderId="1" xfId="0" applyNumberFormat="1" applyFont="1" applyFill="1" applyBorder="1" applyAlignment="1">
      <alignment horizontal="center" vertical="center" wrapText="1"/>
    </xf>
    <xf numFmtId="0" fontId="6" fillId="2" borderId="1" xfId="1" applyFont="1" applyFill="1" applyBorder="1" applyAlignment="1">
      <alignment horizontal="center" vertical="center" wrapText="1" shrinkToFit="1"/>
    </xf>
    <xf numFmtId="0" fontId="1" fillId="2" borderId="1" xfId="0" applyFont="1" applyFill="1" applyBorder="1" applyAlignment="1">
      <alignment horizontal="center" vertical="center" wrapText="1"/>
    </xf>
    <xf numFmtId="0" fontId="7" fillId="2" borderId="1" xfId="1" applyFont="1" applyFill="1" applyBorder="1" applyAlignment="1">
      <alignment horizontal="center" vertical="center"/>
    </xf>
    <xf numFmtId="181" fontId="6" fillId="2" borderId="1" xfId="1" applyNumberFormat="1" applyFont="1" applyFill="1" applyBorder="1" applyAlignment="1">
      <alignment horizontal="center" vertical="center" wrapText="1"/>
    </xf>
    <xf numFmtId="181" fontId="7" fillId="2" borderId="1" xfId="1" applyNumberFormat="1" applyFont="1" applyFill="1" applyBorder="1" applyAlignment="1">
      <alignment horizontal="center" vertical="center"/>
    </xf>
    <xf numFmtId="0" fontId="8" fillId="2" borderId="1" xfId="2" applyFont="1" applyFill="1" applyBorder="1" applyAlignment="1">
      <alignment horizontal="center" vertical="center" wrapText="1"/>
    </xf>
    <xf numFmtId="0" fontId="6" fillId="2" borderId="1" xfId="0" applyFont="1" applyFill="1" applyBorder="1" applyAlignment="1">
      <alignment horizontal="center" vertical="center" wrapText="1"/>
    </xf>
    <xf numFmtId="182" fontId="1" fillId="2" borderId="1" xfId="0" applyNumberFormat="1" applyFont="1" applyFill="1" applyBorder="1" applyAlignment="1">
      <alignment horizontal="center" vertical="center" wrapText="1"/>
    </xf>
    <xf numFmtId="181" fontId="1" fillId="2" borderId="1" xfId="0" applyNumberFormat="1" applyFont="1" applyFill="1" applyBorder="1" applyAlignment="1">
      <alignment horizontal="center" vertical="center" wrapText="1"/>
    </xf>
    <xf numFmtId="181" fontId="9" fillId="2" borderId="1" xfId="3" applyNumberFormat="1" applyFont="1" applyFill="1" applyBorder="1" applyAlignment="1" applyProtection="1">
      <alignment horizontal="center" vertical="center" wrapText="1"/>
      <protection locked="0"/>
    </xf>
    <xf numFmtId="181" fontId="10" fillId="2" borderId="1" xfId="3" applyNumberFormat="1" applyFont="1" applyFill="1" applyBorder="1" applyAlignment="1" applyProtection="1">
      <alignment horizontal="center" vertical="center" wrapText="1"/>
      <protection locked="0"/>
    </xf>
    <xf numFmtId="183" fontId="6" fillId="0" borderId="1" xfId="18" applyNumberFormat="1" applyFont="1" applyFill="1" applyBorder="1" applyAlignment="1">
      <alignment horizontal="center" vertical="center" wrapText="1"/>
    </xf>
    <xf numFmtId="178" fontId="6" fillId="0" borderId="1" xfId="17" applyFont="1" applyFill="1" applyBorder="1" applyAlignment="1">
      <alignment horizontal="center" vertical="center" wrapText="1"/>
    </xf>
    <xf numFmtId="178" fontId="7" fillId="0" borderId="1" xfId="17" applyFont="1" applyFill="1" applyBorder="1" applyAlignment="1">
      <alignment horizontal="center" vertical="center" wrapText="1"/>
    </xf>
    <xf numFmtId="178" fontId="7" fillId="0" borderId="1" xfId="17" applyFont="1" applyFill="1" applyBorder="1" applyAlignment="1">
      <alignment vertical="center" wrapText="1"/>
    </xf>
    <xf numFmtId="178" fontId="9" fillId="0" borderId="1" xfId="20" applyFont="1" applyFill="1" applyBorder="1" applyAlignment="1">
      <alignment horizontal="left" vertical="center" wrapText="1"/>
    </xf>
    <xf numFmtId="178" fontId="7" fillId="0" borderId="1" xfId="20" applyFont="1" applyFill="1" applyBorder="1" applyAlignment="1">
      <alignment horizontal="left" vertical="center" wrapText="1"/>
    </xf>
    <xf numFmtId="0" fontId="6" fillId="0" borderId="1" xfId="0" applyFont="1" applyFill="1" applyBorder="1" applyAlignment="1">
      <alignment horizontal="center" vertical="center" wrapText="1" shrinkToFit="1"/>
    </xf>
    <xf numFmtId="0" fontId="6" fillId="0" borderId="1" xfId="0" applyFont="1" applyFill="1" applyBorder="1" applyAlignment="1">
      <alignment horizontal="center" vertical="center" shrinkToFit="1"/>
    </xf>
    <xf numFmtId="179" fontId="11" fillId="3" borderId="1" xfId="0" applyNumberFormat="1" applyFont="1" applyFill="1" applyBorder="1" applyAlignment="1">
      <alignment horizontal="center" vertical="center" wrapText="1"/>
    </xf>
    <xf numFmtId="0" fontId="11" fillId="3" borderId="1" xfId="21" applyFont="1" applyFill="1" applyBorder="1" applyAlignment="1" applyProtection="1">
      <alignment horizontal="center" vertical="center" wrapText="1"/>
    </xf>
    <xf numFmtId="0" fontId="6" fillId="3" borderId="1" xfId="22" applyFont="1" applyFill="1" applyBorder="1" applyAlignment="1" applyProtection="1">
      <alignment horizontal="left" vertical="center" wrapText="1"/>
    </xf>
    <xf numFmtId="183" fontId="12" fillId="0" borderId="1" xfId="23" applyNumberFormat="1" applyFont="1" applyFill="1" applyBorder="1" applyAlignment="1" applyProtection="1">
      <alignment horizontal="center" vertical="center" wrapText="1"/>
    </xf>
    <xf numFmtId="0" fontId="1" fillId="2" borderId="1" xfId="0" applyFont="1" applyFill="1" applyBorder="1" applyAlignment="1">
      <alignment horizontal="left" vertical="center" wrapText="1"/>
    </xf>
    <xf numFmtId="17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179" fontId="1" fillId="2" borderId="1" xfId="0" applyNumberFormat="1" applyFont="1" applyFill="1" applyBorder="1" applyAlignment="1">
      <alignment horizontal="center" vertical="center" wrapText="1"/>
    </xf>
    <xf numFmtId="0" fontId="6" fillId="2" borderId="1" xfId="22" applyFont="1" applyFill="1" applyBorder="1" applyAlignment="1" applyProtection="1">
      <alignment horizontal="left" vertical="center" wrapText="1"/>
    </xf>
    <xf numFmtId="0" fontId="1" fillId="2" borderId="1" xfId="4"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179" fontId="14" fillId="0" borderId="1" xfId="0" applyNumberFormat="1" applyFont="1" applyFill="1" applyBorder="1" applyAlignment="1">
      <alignment horizontal="center" vertical="center" wrapText="1"/>
    </xf>
    <xf numFmtId="0" fontId="6" fillId="3" borderId="1" xfId="22"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181" fontId="4" fillId="0" borderId="1" xfId="0" applyNumberFormat="1" applyFont="1" applyFill="1" applyBorder="1" applyAlignment="1">
      <alignment horizontal="center" vertical="center" wrapText="1"/>
    </xf>
    <xf numFmtId="0" fontId="1" fillId="0" borderId="0" xfId="0" applyFont="1" applyFill="1" applyAlignment="1">
      <alignment horizontal="center" vertical="center" wrapText="1"/>
    </xf>
    <xf numFmtId="183" fontId="4" fillId="0" borderId="1" xfId="0" applyNumberFormat="1" applyFont="1" applyFill="1" applyBorder="1" applyAlignment="1">
      <alignment horizontal="center" vertical="center" wrapText="1"/>
    </xf>
    <xf numFmtId="183" fontId="1" fillId="2" borderId="1" xfId="0" applyNumberFormat="1" applyFont="1" applyFill="1" applyBorder="1" applyAlignment="1">
      <alignment horizontal="center" vertical="center" wrapText="1"/>
    </xf>
    <xf numFmtId="183" fontId="1"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5" fillId="2" borderId="1" xfId="1" applyNumberFormat="1" applyFont="1" applyFill="1" applyBorder="1" applyAlignment="1">
      <alignment horizontal="center" vertical="center" wrapText="1"/>
    </xf>
    <xf numFmtId="0" fontId="5" fillId="2" borderId="1" xfId="1" applyFont="1" applyFill="1" applyBorder="1" applyAlignment="1">
      <alignment horizontal="center" vertical="center" wrapText="1"/>
    </xf>
    <xf numFmtId="0" fontId="5" fillId="2"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6" fillId="3" borderId="1" xfId="28" applyNumberFormat="1" applyFont="1" applyFill="1" applyBorder="1" applyAlignment="1" applyProtection="1">
      <alignment vertical="center" wrapText="1"/>
    </xf>
  </cellXfs>
  <cellStyles count="29">
    <cellStyle name="常规" xfId="0" builtinId="0"/>
    <cellStyle name="常规 10" xfId="12"/>
    <cellStyle name="常规 10 10 3" xfId="27"/>
    <cellStyle name="常规 10 10 3 2" xfId="17"/>
    <cellStyle name="常规 10 2 2 2 3 3" xfId="26"/>
    <cellStyle name="常规 10 2 2 2 3 3 2" xfId="19"/>
    <cellStyle name="常规 13 2 2" xfId="3"/>
    <cellStyle name="常规 13 3 5 2 2" xfId="24"/>
    <cellStyle name="常规 14 2 3 2 4" xfId="25"/>
    <cellStyle name="常规 15 2 2 10 2" xfId="20"/>
    <cellStyle name="常规 16" xfId="5"/>
    <cellStyle name="常规 16 2" xfId="9"/>
    <cellStyle name="常规 16 2 3" xfId="1"/>
    <cellStyle name="常规 2" xfId="22"/>
    <cellStyle name="常规 2 2 2 3 3 2" xfId="16"/>
    <cellStyle name="常规 2 3" xfId="21"/>
    <cellStyle name="常规 22" xfId="6"/>
    <cellStyle name="常规 24" xfId="7"/>
    <cellStyle name="常规 25 2" xfId="10"/>
    <cellStyle name="常规 27" xfId="13"/>
    <cellStyle name="常规 27 2" xfId="11"/>
    <cellStyle name="常规 3" xfId="4"/>
    <cellStyle name="常规 31" xfId="15"/>
    <cellStyle name="常规 33" xfId="14"/>
    <cellStyle name="常规 33 2 2" xfId="18"/>
    <cellStyle name="常规 4 2 2" xfId="8"/>
    <cellStyle name="常规 4 2 2 2" xfId="2"/>
    <cellStyle name="常规 43" xfId="28"/>
    <cellStyle name="常规 71 2 2" xfId="23"/>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tabSelected="1" view="pageBreakPreview" zoomScaleNormal="100" workbookViewId="0">
      <pane xSplit="3" ySplit="2" topLeftCell="D3" activePane="bottomRight" state="frozen"/>
      <selection pane="topRight"/>
      <selection pane="bottomLeft"/>
      <selection pane="bottomRight" activeCell="D6" sqref="D6"/>
    </sheetView>
  </sheetViews>
  <sheetFormatPr defaultColWidth="9" defaultRowHeight="12"/>
  <cols>
    <col min="1" max="1" width="6.25" style="11" customWidth="1"/>
    <col min="2" max="2" width="13.5" style="12" customWidth="1"/>
    <col min="3" max="3" width="5.125" style="8" customWidth="1"/>
    <col min="4" max="4" width="9.875" style="13" customWidth="1"/>
    <col min="5" max="6" width="10.5" style="8" customWidth="1"/>
    <col min="7" max="7" width="26.5" style="8" customWidth="1"/>
    <col min="8" max="8" width="59.875" style="8" customWidth="1"/>
    <col min="9" max="10" width="9" style="8"/>
    <col min="11" max="12" width="11.125" style="8"/>
    <col min="13" max="16384" width="9" style="8"/>
  </cols>
  <sheetData>
    <row r="1" spans="1:9" ht="66" customHeight="1">
      <c r="A1" s="58" t="s">
        <v>119</v>
      </c>
      <c r="B1" s="58"/>
      <c r="C1" s="58"/>
      <c r="D1" s="58"/>
      <c r="E1" s="58"/>
      <c r="F1" s="58"/>
      <c r="G1" s="58"/>
      <c r="H1" s="58"/>
      <c r="I1" s="58"/>
    </row>
    <row r="2" spans="1:9" s="9" customFormat="1" ht="51.95" customHeight="1">
      <c r="A2" s="14" t="s">
        <v>0</v>
      </c>
      <c r="B2" s="15" t="s">
        <v>1</v>
      </c>
      <c r="C2" s="15" t="s">
        <v>2</v>
      </c>
      <c r="D2" s="15" t="s">
        <v>3</v>
      </c>
      <c r="E2" s="15" t="s">
        <v>4</v>
      </c>
      <c r="F2" s="15" t="s">
        <v>5</v>
      </c>
      <c r="G2" s="15" t="s">
        <v>6</v>
      </c>
      <c r="H2" s="15" t="s">
        <v>7</v>
      </c>
      <c r="I2" s="55" t="s">
        <v>8</v>
      </c>
    </row>
    <row r="3" spans="1:9" ht="27" customHeight="1">
      <c r="A3" s="59" t="s">
        <v>9</v>
      </c>
      <c r="B3" s="60"/>
      <c r="C3" s="60"/>
      <c r="D3" s="15"/>
      <c r="E3" s="15"/>
      <c r="F3" s="16"/>
      <c r="G3" s="17"/>
      <c r="H3" s="17"/>
      <c r="I3" s="17"/>
    </row>
    <row r="4" spans="1:9" ht="189.95" customHeight="1">
      <c r="A4" s="18" t="s">
        <v>10</v>
      </c>
      <c r="B4" s="19" t="s">
        <v>11</v>
      </c>
      <c r="C4" s="20" t="s">
        <v>12</v>
      </c>
      <c r="D4" s="21">
        <v>1</v>
      </c>
      <c r="E4" s="22">
        <f>SUM(F7:F23)*0.01</f>
        <v>2405.4499999999998</v>
      </c>
      <c r="F4" s="23">
        <f t="shared" ref="F4:F9" si="0">ROUND(D4*E4,0)</f>
        <v>2405</v>
      </c>
      <c r="G4" s="24" t="s">
        <v>13</v>
      </c>
      <c r="H4" s="20" t="s">
        <v>14</v>
      </c>
      <c r="I4" s="55"/>
    </row>
    <row r="5" spans="1:9" ht="120" customHeight="1">
      <c r="A5" s="18" t="s">
        <v>15</v>
      </c>
      <c r="B5" s="20" t="s">
        <v>16</v>
      </c>
      <c r="C5" s="20" t="s">
        <v>12</v>
      </c>
      <c r="D5" s="21">
        <v>1</v>
      </c>
      <c r="E5" s="22">
        <f>SUM(F7:F23)*0.02</f>
        <v>4810.8999999999996</v>
      </c>
      <c r="F5" s="23">
        <f t="shared" si="0"/>
        <v>4811</v>
      </c>
      <c r="G5" s="20" t="s">
        <v>17</v>
      </c>
      <c r="H5" s="20" t="s">
        <v>18</v>
      </c>
      <c r="I5" s="56"/>
    </row>
    <row r="6" spans="1:9" ht="27" customHeight="1">
      <c r="A6" s="59" t="s">
        <v>19</v>
      </c>
      <c r="B6" s="60"/>
      <c r="C6" s="60"/>
      <c r="D6" s="25"/>
      <c r="E6" s="26"/>
      <c r="F6" s="27"/>
      <c r="G6" s="20"/>
      <c r="H6" s="20"/>
      <c r="I6" s="56"/>
    </row>
    <row r="7" spans="1:9" ht="108" customHeight="1">
      <c r="A7" s="18" t="s">
        <v>20</v>
      </c>
      <c r="B7" s="25" t="s">
        <v>21</v>
      </c>
      <c r="C7" s="25" t="s">
        <v>22</v>
      </c>
      <c r="D7" s="26">
        <v>240</v>
      </c>
      <c r="E7" s="26">
        <v>22.33</v>
      </c>
      <c r="F7" s="23">
        <f t="shared" si="0"/>
        <v>5359</v>
      </c>
      <c r="G7" s="28" t="s">
        <v>23</v>
      </c>
      <c r="H7" s="29" t="s">
        <v>24</v>
      </c>
      <c r="I7" s="56"/>
    </row>
    <row r="8" spans="1:9" ht="96.95" customHeight="1">
      <c r="A8" s="18" t="s">
        <v>25</v>
      </c>
      <c r="B8" s="25" t="s">
        <v>26</v>
      </c>
      <c r="C8" s="25" t="s">
        <v>22</v>
      </c>
      <c r="D8" s="26">
        <v>1600</v>
      </c>
      <c r="E8" s="26">
        <v>5.91</v>
      </c>
      <c r="F8" s="23">
        <f t="shared" si="0"/>
        <v>9456</v>
      </c>
      <c r="G8" s="20" t="s">
        <v>27</v>
      </c>
      <c r="H8" s="20" t="s">
        <v>28</v>
      </c>
      <c r="I8" s="56"/>
    </row>
    <row r="9" spans="1:9" ht="96" customHeight="1">
      <c r="A9" s="18" t="s">
        <v>29</v>
      </c>
      <c r="B9" s="25" t="s">
        <v>30</v>
      </c>
      <c r="C9" s="25" t="s">
        <v>22</v>
      </c>
      <c r="D9" s="30">
        <v>700</v>
      </c>
      <c r="E9" s="30">
        <v>24.84</v>
      </c>
      <c r="F9" s="23">
        <f t="shared" si="0"/>
        <v>17388</v>
      </c>
      <c r="G9" s="20" t="s">
        <v>31</v>
      </c>
      <c r="H9" s="20" t="s">
        <v>32</v>
      </c>
      <c r="I9" s="56"/>
    </row>
    <row r="10" spans="1:9" ht="57" customHeight="1">
      <c r="A10" s="18" t="s">
        <v>33</v>
      </c>
      <c r="B10" s="25" t="s">
        <v>34</v>
      </c>
      <c r="C10" s="31" t="s">
        <v>22</v>
      </c>
      <c r="D10" s="30">
        <v>1100</v>
      </c>
      <c r="E10" s="30">
        <v>2.5499999999999998</v>
      </c>
      <c r="F10" s="23">
        <f t="shared" ref="F10:F16" si="1">ROUND(D10*E10,0)</f>
        <v>2805</v>
      </c>
      <c r="G10" s="32" t="s">
        <v>35</v>
      </c>
      <c r="H10" s="20" t="s">
        <v>36</v>
      </c>
      <c r="I10" s="55"/>
    </row>
    <row r="11" spans="1:9" ht="168" customHeight="1">
      <c r="A11" s="18" t="s">
        <v>37</v>
      </c>
      <c r="B11" s="25" t="s">
        <v>38</v>
      </c>
      <c r="C11" s="31" t="s">
        <v>22</v>
      </c>
      <c r="D11" s="30">
        <f>D9+D8+D7-D12</f>
        <v>1540</v>
      </c>
      <c r="E11" s="30">
        <v>30.79</v>
      </c>
      <c r="F11" s="23">
        <f t="shared" si="1"/>
        <v>47417</v>
      </c>
      <c r="G11" s="32" t="s">
        <v>39</v>
      </c>
      <c r="H11" s="33" t="s">
        <v>40</v>
      </c>
      <c r="I11" s="55"/>
    </row>
    <row r="12" spans="1:9" ht="108.95" customHeight="1">
      <c r="A12" s="18" t="s">
        <v>41</v>
      </c>
      <c r="B12" s="30" t="s">
        <v>42</v>
      </c>
      <c r="C12" s="31" t="s">
        <v>22</v>
      </c>
      <c r="D12" s="30">
        <v>1000</v>
      </c>
      <c r="E12" s="30">
        <v>3.42</v>
      </c>
      <c r="F12" s="23">
        <f t="shared" si="1"/>
        <v>3420</v>
      </c>
      <c r="G12" s="34" t="s">
        <v>43</v>
      </c>
      <c r="H12" s="35" t="s">
        <v>44</v>
      </c>
      <c r="I12" s="55"/>
    </row>
    <row r="13" spans="1:9" ht="84" customHeight="1">
      <c r="A13" s="18" t="s">
        <v>45</v>
      </c>
      <c r="B13" s="36" t="s">
        <v>46</v>
      </c>
      <c r="C13" s="37" t="s">
        <v>22</v>
      </c>
      <c r="D13" s="38">
        <v>800</v>
      </c>
      <c r="E13" s="38">
        <v>111.91</v>
      </c>
      <c r="F13" s="23">
        <f t="shared" si="1"/>
        <v>89528</v>
      </c>
      <c r="G13" s="39" t="s">
        <v>47</v>
      </c>
      <c r="H13" s="40" t="s">
        <v>48</v>
      </c>
      <c r="I13" s="55"/>
    </row>
    <row r="14" spans="1:9" ht="114" customHeight="1">
      <c r="A14" s="18" t="s">
        <v>49</v>
      </c>
      <c r="B14" s="25" t="s">
        <v>50</v>
      </c>
      <c r="C14" s="25" t="s">
        <v>22</v>
      </c>
      <c r="D14" s="41">
        <v>50</v>
      </c>
      <c r="E14" s="41">
        <v>50.09</v>
      </c>
      <c r="F14" s="23">
        <f t="shared" si="1"/>
        <v>2505</v>
      </c>
      <c r="G14" s="39" t="s">
        <v>51</v>
      </c>
      <c r="H14" s="40" t="s">
        <v>52</v>
      </c>
      <c r="I14" s="56"/>
    </row>
    <row r="15" spans="1:9" ht="114" customHeight="1">
      <c r="A15" s="18" t="s">
        <v>53</v>
      </c>
      <c r="B15" s="25" t="s">
        <v>54</v>
      </c>
      <c r="C15" s="25" t="s">
        <v>22</v>
      </c>
      <c r="D15" s="41">
        <v>50</v>
      </c>
      <c r="E15" s="41">
        <v>24.54</v>
      </c>
      <c r="F15" s="23">
        <f t="shared" si="1"/>
        <v>1227</v>
      </c>
      <c r="G15" s="42" t="s">
        <v>51</v>
      </c>
      <c r="H15" s="40" t="s">
        <v>52</v>
      </c>
      <c r="I15" s="56"/>
    </row>
    <row r="16" spans="1:9" ht="87" customHeight="1">
      <c r="A16" s="18" t="s">
        <v>55</v>
      </c>
      <c r="B16" s="36" t="s">
        <v>56</v>
      </c>
      <c r="C16" s="20" t="s">
        <v>57</v>
      </c>
      <c r="D16" s="38">
        <v>255</v>
      </c>
      <c r="E16" s="38">
        <v>35.700000000000003</v>
      </c>
      <c r="F16" s="23">
        <f t="shared" si="1"/>
        <v>9104</v>
      </c>
      <c r="G16" s="42" t="s">
        <v>58</v>
      </c>
      <c r="H16" s="42" t="s">
        <v>59</v>
      </c>
      <c r="I16" s="56"/>
    </row>
    <row r="17" spans="1:9" ht="162" customHeight="1">
      <c r="A17" s="18" t="s">
        <v>60</v>
      </c>
      <c r="B17" s="43" t="s">
        <v>61</v>
      </c>
      <c r="C17" s="44" t="s">
        <v>57</v>
      </c>
      <c r="D17" s="45">
        <v>50</v>
      </c>
      <c r="E17" s="45">
        <v>26.18</v>
      </c>
      <c r="F17" s="45">
        <f>E17*D17</f>
        <v>1309</v>
      </c>
      <c r="G17" s="28" t="s">
        <v>62</v>
      </c>
      <c r="H17" s="29" t="s">
        <v>63</v>
      </c>
      <c r="I17" s="56"/>
    </row>
    <row r="18" spans="1:9" ht="122.1" customHeight="1">
      <c r="A18" s="18" t="s">
        <v>64</v>
      </c>
      <c r="B18" s="25" t="s">
        <v>65</v>
      </c>
      <c r="C18" s="20" t="s">
        <v>66</v>
      </c>
      <c r="D18" s="38">
        <v>50</v>
      </c>
      <c r="E18" s="45">
        <v>175.5</v>
      </c>
      <c r="F18" s="45">
        <f>D18*E18</f>
        <v>8775</v>
      </c>
      <c r="G18" s="46" t="s">
        <v>67</v>
      </c>
      <c r="H18" s="42" t="s">
        <v>68</v>
      </c>
      <c r="I18" s="56"/>
    </row>
    <row r="19" spans="1:9" ht="30" customHeight="1">
      <c r="A19" s="61" t="s">
        <v>69</v>
      </c>
      <c r="B19" s="61"/>
      <c r="C19" s="61"/>
      <c r="D19" s="26"/>
      <c r="E19" s="26"/>
      <c r="F19" s="27"/>
      <c r="G19" s="47"/>
      <c r="H19" s="47"/>
      <c r="I19" s="55"/>
    </row>
    <row r="20" spans="1:9" ht="69" customHeight="1">
      <c r="A20" s="25">
        <v>15</v>
      </c>
      <c r="B20" s="25" t="s">
        <v>70</v>
      </c>
      <c r="C20" s="25" t="s">
        <v>66</v>
      </c>
      <c r="D20" s="26">
        <v>102</v>
      </c>
      <c r="E20" s="26">
        <v>111.17</v>
      </c>
      <c r="F20" s="23">
        <f>ROUND(D20*E20,0)</f>
        <v>11339</v>
      </c>
      <c r="G20" s="47" t="s">
        <v>71</v>
      </c>
      <c r="H20" s="47" t="s">
        <v>72</v>
      </c>
      <c r="I20" s="55"/>
    </row>
    <row r="21" spans="1:9" ht="222" customHeight="1">
      <c r="A21" s="25">
        <v>16</v>
      </c>
      <c r="B21" s="25" t="s">
        <v>73</v>
      </c>
      <c r="C21" s="25" t="s">
        <v>74</v>
      </c>
      <c r="D21" s="26">
        <v>2</v>
      </c>
      <c r="E21" s="26">
        <v>7938.1</v>
      </c>
      <c r="F21" s="23">
        <f>ROUND(D21*E21,0)</f>
        <v>15876</v>
      </c>
      <c r="G21" s="46" t="s">
        <v>75</v>
      </c>
      <c r="H21" s="46" t="s">
        <v>76</v>
      </c>
      <c r="I21" s="25"/>
    </row>
    <row r="22" spans="1:9" ht="147" customHeight="1">
      <c r="A22" s="25">
        <v>17</v>
      </c>
      <c r="B22" s="25" t="s">
        <v>77</v>
      </c>
      <c r="C22" s="25" t="s">
        <v>74</v>
      </c>
      <c r="D22" s="26">
        <v>2</v>
      </c>
      <c r="E22" s="26">
        <v>6318.12</v>
      </c>
      <c r="F22" s="23">
        <f>ROUND(D22*E22,0)</f>
        <v>12636</v>
      </c>
      <c r="G22" s="46" t="s">
        <v>75</v>
      </c>
      <c r="H22" s="46" t="s">
        <v>76</v>
      </c>
      <c r="I22" s="57"/>
    </row>
    <row r="23" spans="1:9" s="10" customFormat="1" ht="83.1" customHeight="1">
      <c r="A23" s="25">
        <v>18</v>
      </c>
      <c r="B23" s="48" t="s">
        <v>78</v>
      </c>
      <c r="C23" s="48" t="s">
        <v>79</v>
      </c>
      <c r="D23" s="49">
        <v>12</v>
      </c>
      <c r="E23" s="49">
        <v>200.08</v>
      </c>
      <c r="F23" s="23">
        <f>ROUND(D23*E23,0)</f>
        <v>2401</v>
      </c>
      <c r="G23" s="50" t="s">
        <v>80</v>
      </c>
      <c r="H23" s="40" t="s">
        <v>81</v>
      </c>
      <c r="I23" s="55"/>
    </row>
    <row r="24" spans="1:9" ht="30" customHeight="1">
      <c r="A24" s="62" t="s">
        <v>82</v>
      </c>
      <c r="B24" s="62"/>
      <c r="C24" s="51"/>
      <c r="D24" s="51"/>
      <c r="E24" s="52"/>
      <c r="F24" s="53">
        <f>SUM(F4:F23)</f>
        <v>247761</v>
      </c>
      <c r="G24" s="17"/>
      <c r="H24" s="17"/>
      <c r="I24" s="17"/>
    </row>
    <row r="25" spans="1:9" s="9" customFormat="1" ht="141" customHeight="1">
      <c r="A25" s="63" t="s">
        <v>83</v>
      </c>
      <c r="B25" s="63"/>
      <c r="C25" s="63"/>
      <c r="D25" s="63"/>
      <c r="E25" s="63"/>
      <c r="F25" s="63"/>
      <c r="G25" s="63"/>
      <c r="H25" s="63"/>
      <c r="I25" s="63"/>
    </row>
    <row r="26" spans="1:9" ht="131.1" customHeight="1">
      <c r="F26" s="54"/>
    </row>
    <row r="27" spans="1:9" ht="134.1" customHeight="1">
      <c r="F27" s="54"/>
    </row>
    <row r="28" spans="1:9" ht="66.95" customHeight="1">
      <c r="F28" s="54"/>
    </row>
    <row r="29" spans="1:9" ht="86.1" customHeight="1">
      <c r="F29" s="54"/>
    </row>
    <row r="30" spans="1:9" ht="77.099999999999994" customHeight="1">
      <c r="F30" s="54"/>
    </row>
    <row r="31" spans="1:9" ht="102" customHeight="1">
      <c r="F31" s="54"/>
    </row>
    <row r="32" spans="1:9" ht="102" customHeight="1">
      <c r="F32" s="54"/>
    </row>
    <row r="33" spans="6:6" ht="129.94999999999999" customHeight="1">
      <c r="F33" s="54"/>
    </row>
    <row r="34" spans="6:6" ht="135.94999999999999" customHeight="1">
      <c r="F34" s="54"/>
    </row>
    <row r="35" spans="6:6" ht="131.1" customHeight="1">
      <c r="F35" s="54"/>
    </row>
    <row r="36" spans="6:6" ht="39.950000000000003" customHeight="1">
      <c r="F36" s="54"/>
    </row>
    <row r="37" spans="6:6" ht="62.1" customHeight="1">
      <c r="F37" s="54"/>
    </row>
    <row r="38" spans="6:6" ht="27" customHeight="1">
      <c r="F38" s="54"/>
    </row>
    <row r="39" spans="6:6">
      <c r="F39" s="54"/>
    </row>
    <row r="40" spans="6:6">
      <c r="F40" s="54"/>
    </row>
    <row r="41" spans="6:6">
      <c r="F41" s="54"/>
    </row>
    <row r="42" spans="6:6">
      <c r="F42" s="54"/>
    </row>
    <row r="43" spans="6:6">
      <c r="F43" s="54"/>
    </row>
  </sheetData>
  <mergeCells count="6">
    <mergeCell ref="A25:I25"/>
    <mergeCell ref="A1:I1"/>
    <mergeCell ref="A3:C3"/>
    <mergeCell ref="A6:C6"/>
    <mergeCell ref="A19:C19"/>
    <mergeCell ref="A24:B24"/>
  </mergeCells>
  <phoneticPr fontId="20" type="noConversion"/>
  <pageMargins left="0.23611111111111099" right="0.118055555555556" top="0.21249999999999999" bottom="1.22013888888889" header="0.5" footer="0.5"/>
  <pageSetup paperSize="8" scale="80" orientation="portrait" r:id="rId1"/>
  <headerFooter>
    <oddFooter>&amp;C&amp;B
第 &amp;P 页，共 &amp;N 页</oddFooter>
  </headerFooter>
  <rowBreaks count="2" manualBreakCount="2">
    <brk id="14" max="8" man="1"/>
    <brk id="2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C41"/>
  <sheetViews>
    <sheetView workbookViewId="0">
      <pane xSplit="1" topLeftCell="B1" activePane="topRight" state="frozen"/>
      <selection pane="topRight" activeCell="K7" sqref="K7"/>
    </sheetView>
  </sheetViews>
  <sheetFormatPr defaultColWidth="9" defaultRowHeight="13.5"/>
  <cols>
    <col min="1" max="1" width="18.625" style="1" customWidth="1"/>
    <col min="2" max="2" width="19" customWidth="1"/>
    <col min="3" max="3" width="11.125" customWidth="1"/>
    <col min="4" max="4" width="9.625" customWidth="1"/>
    <col min="5" max="5" width="9.625" style="2" customWidth="1"/>
    <col min="6" max="6" width="12.125" style="3" customWidth="1"/>
    <col min="7" max="7" width="12" customWidth="1"/>
    <col min="8" max="9" width="12.25" customWidth="1"/>
    <col min="10" max="10" width="12.625" style="3"/>
    <col min="11" max="11" width="10.375" style="3"/>
    <col min="12" max="13" width="12.625"/>
    <col min="14" max="22" width="10.625"/>
    <col min="23" max="23" width="11.5"/>
    <col min="25" max="25" width="9.375" style="3"/>
    <col min="26" max="26" width="9" style="2"/>
    <col min="28" max="28" width="12.625"/>
  </cols>
  <sheetData>
    <row r="2" spans="1:29" ht="40.5">
      <c r="A2" s="4" t="s">
        <v>84</v>
      </c>
      <c r="B2" s="4" t="s">
        <v>85</v>
      </c>
      <c r="C2" s="4" t="s">
        <v>86</v>
      </c>
      <c r="D2" s="4" t="s">
        <v>87</v>
      </c>
      <c r="E2" s="5" t="s">
        <v>88</v>
      </c>
      <c r="F2" s="5" t="s">
        <v>89</v>
      </c>
      <c r="G2" s="4" t="s">
        <v>90</v>
      </c>
      <c r="H2" s="4" t="s">
        <v>91</v>
      </c>
      <c r="I2" s="4" t="s">
        <v>92</v>
      </c>
      <c r="J2" s="5" t="s">
        <v>93</v>
      </c>
      <c r="K2" s="5" t="s">
        <v>94</v>
      </c>
      <c r="L2" s="4" t="s">
        <v>95</v>
      </c>
      <c r="M2" s="4" t="s">
        <v>96</v>
      </c>
      <c r="N2" s="4" t="s">
        <v>97</v>
      </c>
      <c r="O2" s="4" t="s">
        <v>98</v>
      </c>
      <c r="P2" s="4" t="s">
        <v>99</v>
      </c>
      <c r="Q2" s="4" t="s">
        <v>100</v>
      </c>
      <c r="R2" s="4" t="s">
        <v>101</v>
      </c>
      <c r="S2" s="4" t="s">
        <v>102</v>
      </c>
      <c r="T2" s="4" t="s">
        <v>102</v>
      </c>
      <c r="U2" s="4" t="s">
        <v>103</v>
      </c>
      <c r="V2" s="4" t="s">
        <v>103</v>
      </c>
      <c r="W2" s="4" t="s">
        <v>104</v>
      </c>
      <c r="X2" t="s">
        <v>8</v>
      </c>
    </row>
    <row r="3" spans="1:29" ht="135">
      <c r="A3" s="4" t="s">
        <v>105</v>
      </c>
      <c r="B3" s="6">
        <v>1.5</v>
      </c>
      <c r="C3" s="7">
        <f>3.14*B3/2*B3/2</f>
        <v>1.7662500000000001</v>
      </c>
      <c r="D3" s="7">
        <f>((B3+1.6)+((B3+1.6)*1.13*2))*4/2</f>
        <v>20.212</v>
      </c>
      <c r="E3" s="2">
        <f>0.35*(B3+1.6)</f>
        <v>1.085</v>
      </c>
      <c r="F3" s="2">
        <f>0.5*(B3+1.6)</f>
        <v>1.55</v>
      </c>
      <c r="G3" s="6">
        <f>(B3+1.6)*0.2*0</f>
        <v>0</v>
      </c>
      <c r="H3" s="6">
        <v>102</v>
      </c>
      <c r="I3" s="6">
        <f>(B3/2+B3/2)*3.14*H3</f>
        <v>480.42</v>
      </c>
      <c r="J3" s="2">
        <f>H3*D3</f>
        <v>2061.6239999999998</v>
      </c>
      <c r="K3" s="2">
        <f>H3*E3</f>
        <v>110.67</v>
      </c>
      <c r="L3" s="2">
        <f>H3*F3</f>
        <v>158.1</v>
      </c>
      <c r="M3" s="2">
        <f>0.2*(B3+1.6)*H3</f>
        <v>63.24</v>
      </c>
      <c r="N3" s="2">
        <f>G3*H3</f>
        <v>0</v>
      </c>
      <c r="O3" s="2">
        <f>0.04*(B3+1.6)</f>
        <v>0.124</v>
      </c>
      <c r="P3" s="2">
        <f>O3*H3</f>
        <v>12.648</v>
      </c>
      <c r="Q3" s="2">
        <f>0.08*(B3+1.6)</f>
        <v>0.248</v>
      </c>
      <c r="R3" s="2">
        <f>Q3*H3</f>
        <v>25.295999999999999</v>
      </c>
      <c r="S3" s="2">
        <f>0.2*(B3+1.6)</f>
        <v>0.62</v>
      </c>
      <c r="T3" s="2">
        <f>S3*H3</f>
        <v>63.24</v>
      </c>
      <c r="U3" s="2"/>
      <c r="V3" s="2">
        <f>U3*H3</f>
        <v>0</v>
      </c>
      <c r="W3" s="2">
        <f>J3+K3-L3-M3-N3-P3-R3-T3-V3-I3</f>
        <v>1369.35</v>
      </c>
      <c r="X3" s="1" t="s">
        <v>106</v>
      </c>
      <c r="Y3" s="3">
        <f>(2.472+2.014+0.968+0.884+1.143+0.973+0.943+0.964+1.187+1.271+1.821+1.744+3.422+3.283+3.422+3.283)/16</f>
        <v>1.862125</v>
      </c>
      <c r="Z3" s="2">
        <f>Y3-0.15</f>
        <v>1.7121249999999999</v>
      </c>
      <c r="AA3" s="6"/>
      <c r="AB3" s="6"/>
      <c r="AC3" s="6"/>
    </row>
    <row r="4" spans="1:29">
      <c r="A4" s="4"/>
      <c r="B4" s="6"/>
      <c r="C4" s="7"/>
      <c r="D4" s="7"/>
      <c r="F4" s="2"/>
      <c r="G4" s="6"/>
      <c r="H4" s="6"/>
      <c r="I4" s="6"/>
      <c r="J4" s="2"/>
      <c r="K4" s="2"/>
      <c r="L4" s="2"/>
      <c r="M4" s="2"/>
      <c r="N4" s="2"/>
      <c r="O4" s="2"/>
      <c r="P4" s="2"/>
      <c r="Q4" s="2"/>
      <c r="R4" s="2"/>
      <c r="S4" s="2"/>
      <c r="T4" s="2"/>
      <c r="U4" s="2"/>
      <c r="V4" s="2"/>
      <c r="W4" s="2"/>
      <c r="X4" s="1"/>
      <c r="AA4" s="6"/>
      <c r="AB4" s="6"/>
      <c r="AC4" s="6"/>
    </row>
    <row r="5" spans="1:29">
      <c r="B5" s="6" t="s">
        <v>107</v>
      </c>
      <c r="C5" s="6" t="s">
        <v>108</v>
      </c>
      <c r="D5" s="6" t="s">
        <v>109</v>
      </c>
      <c r="E5" s="2">
        <f>1.7*1.5</f>
        <v>2.5499999999999998</v>
      </c>
      <c r="F5" s="2">
        <f>E5*(2)</f>
        <v>5.0999999999999996</v>
      </c>
      <c r="G5" s="6">
        <v>1000</v>
      </c>
      <c r="H5" s="6" t="s">
        <v>109</v>
      </c>
      <c r="I5" s="6"/>
      <c r="J5" s="2">
        <v>2.27</v>
      </c>
      <c r="K5" s="2">
        <f>J5*(8+9+13)</f>
        <v>68.099999999999994</v>
      </c>
      <c r="L5" s="6"/>
      <c r="X5" s="1"/>
    </row>
    <row r="6" spans="1:29">
      <c r="B6" s="6"/>
      <c r="C6" s="6"/>
      <c r="D6" s="6" t="s">
        <v>110</v>
      </c>
      <c r="E6" s="2">
        <f>E5*E7</f>
        <v>7.7492678571428604</v>
      </c>
      <c r="F6" s="2">
        <f>E6*(2)</f>
        <v>15.498535714285699</v>
      </c>
      <c r="G6" s="6"/>
      <c r="H6" s="6" t="s">
        <v>110</v>
      </c>
      <c r="I6" s="6"/>
      <c r="J6" s="2">
        <f>J5*J7</f>
        <v>5.5218966071428603</v>
      </c>
      <c r="K6" s="2">
        <f>J6*(8+9+13)</f>
        <v>165.656898214286</v>
      </c>
      <c r="L6" s="6"/>
      <c r="X6" s="1"/>
    </row>
    <row r="7" spans="1:29">
      <c r="B7" s="6"/>
      <c r="C7" s="6"/>
      <c r="D7" s="6" t="s">
        <v>111</v>
      </c>
      <c r="E7" s="2">
        <f>(3.352+2.508+3.17+2.941+3.103+2.888+3.088+3.432+3.603+4.177+2.857+2.16+2.6+2.666)/14</f>
        <v>3.0389285714285701</v>
      </c>
      <c r="F7" s="2"/>
      <c r="G7" s="6"/>
      <c r="H7" s="6" t="s">
        <v>111</v>
      </c>
      <c r="I7" s="6"/>
      <c r="J7" s="2">
        <f>(2.634+2.698+2.963+3.318+2.589+2.564+2.755+2.815+2.854+2.061+2.878+2.803+2.547+3.565+2.854+2.886+2.804+2.275+1.03+2.604+2.601+0.597+0.512+2.28+2.36+0.795+2.261+2.09+2.344+1.298+1.222+2.314+2.775+2.337+2.087+3.074+2.316+2.975+2.683+3.554+2.648+3.514+3.58+2.609+2.77+2.924+3.677+2.583+3.31+1.312+1.297+1.473+1.273+1.517+2.151+3.613)/56</f>
        <v>2.4325535714285702</v>
      </c>
      <c r="K7" s="2"/>
      <c r="L7" s="6"/>
      <c r="X7" s="1"/>
    </row>
    <row r="8" spans="1:29">
      <c r="B8" s="6"/>
      <c r="C8" s="6"/>
      <c r="D8" s="6"/>
      <c r="F8" s="2"/>
      <c r="G8" s="6"/>
      <c r="H8" s="6"/>
      <c r="I8" s="6"/>
      <c r="J8" s="2"/>
      <c r="K8" s="2"/>
      <c r="L8" s="6"/>
      <c r="X8" s="1"/>
    </row>
    <row r="9" spans="1:29">
      <c r="B9" s="6"/>
      <c r="C9" s="6"/>
      <c r="D9" s="6"/>
      <c r="F9" s="2"/>
      <c r="G9" s="6"/>
      <c r="H9" s="6"/>
      <c r="I9" s="6"/>
      <c r="J9" s="2"/>
      <c r="K9" s="2"/>
      <c r="L9" s="6"/>
      <c r="X9" s="1"/>
    </row>
    <row r="10" spans="1:29">
      <c r="B10" s="6"/>
      <c r="C10" s="6"/>
      <c r="D10" s="6"/>
      <c r="F10" s="2"/>
      <c r="G10" s="6" t="s">
        <v>112</v>
      </c>
      <c r="H10" s="6" t="s">
        <v>109</v>
      </c>
      <c r="I10" s="6"/>
      <c r="J10" s="2">
        <v>3.14</v>
      </c>
      <c r="K10" s="2"/>
      <c r="L10" s="6"/>
      <c r="X10" s="1"/>
    </row>
    <row r="11" spans="1:29">
      <c r="B11" s="6" t="s">
        <v>113</v>
      </c>
      <c r="C11" s="6">
        <v>1000</v>
      </c>
      <c r="D11" s="6" t="s">
        <v>109</v>
      </c>
      <c r="E11" s="2">
        <f>1*3.14</f>
        <v>3.14</v>
      </c>
      <c r="F11" s="2">
        <f>E11*(1+12)</f>
        <v>40.82</v>
      </c>
      <c r="G11" s="6"/>
      <c r="H11" s="6" t="s">
        <v>110</v>
      </c>
      <c r="I11" s="6"/>
      <c r="J11" s="2">
        <f>J10*J12</f>
        <v>17.2303575</v>
      </c>
      <c r="K11" s="2"/>
      <c r="L11" s="6"/>
      <c r="X11" s="1"/>
    </row>
    <row r="12" spans="1:29">
      <c r="B12" s="6"/>
      <c r="C12" s="6"/>
      <c r="D12" s="6" t="s">
        <v>110</v>
      </c>
      <c r="E12" s="2">
        <f>0.5*0.5*3.14*E13</f>
        <v>1.4938549999999999</v>
      </c>
      <c r="F12" s="2">
        <f>E12*(1+12)</f>
        <v>19.420114999999999</v>
      </c>
      <c r="G12" s="6"/>
      <c r="H12" s="6" t="s">
        <v>111</v>
      </c>
      <c r="I12" s="6"/>
      <c r="J12" s="2">
        <f>(7.375+7.047+4.467+5.658+5.509+6.261+3.784+3.798)/8</f>
        <v>5.4873750000000001</v>
      </c>
      <c r="K12" s="2"/>
      <c r="L12" s="6"/>
      <c r="X12" s="1"/>
    </row>
    <row r="13" spans="1:29">
      <c r="B13" s="6"/>
      <c r="C13" s="6"/>
      <c r="D13" s="6" t="s">
        <v>111</v>
      </c>
      <c r="E13" s="2">
        <v>1.903</v>
      </c>
      <c r="F13" s="2"/>
      <c r="G13" s="6"/>
      <c r="H13" s="6"/>
      <c r="I13" s="6"/>
      <c r="J13" s="2"/>
      <c r="K13" s="2"/>
      <c r="L13" s="6"/>
    </row>
    <row r="14" spans="1:29">
      <c r="B14" s="6"/>
      <c r="C14" s="6"/>
      <c r="D14" s="6"/>
      <c r="F14" s="2"/>
      <c r="G14" s="6" t="s">
        <v>108</v>
      </c>
      <c r="H14" s="6" t="s">
        <v>109</v>
      </c>
      <c r="I14" s="6"/>
      <c r="J14" s="2">
        <f>1.7*1.5</f>
        <v>2.5499999999999998</v>
      </c>
      <c r="K14" s="2">
        <f>J14*(1+1+1)</f>
        <v>7.65</v>
      </c>
      <c r="L14" s="6"/>
    </row>
    <row r="15" spans="1:29">
      <c r="B15" s="6" t="s">
        <v>114</v>
      </c>
      <c r="C15" s="6" t="s">
        <v>115</v>
      </c>
      <c r="D15" s="6" t="s">
        <v>109</v>
      </c>
      <c r="E15" s="2">
        <f>2.1*1.8</f>
        <v>3.78</v>
      </c>
      <c r="F15" s="2"/>
      <c r="G15" s="6"/>
      <c r="H15" s="6" t="s">
        <v>110</v>
      </c>
      <c r="I15" s="6"/>
      <c r="J15" s="2">
        <f>J14*J16</f>
        <v>7.4883937500000002</v>
      </c>
      <c r="K15" s="2">
        <f>J15*(1+1+1)</f>
        <v>22.465181250000001</v>
      </c>
      <c r="L15" s="6"/>
    </row>
    <row r="16" spans="1:29">
      <c r="B16" s="6"/>
      <c r="C16" s="6"/>
      <c r="D16" s="6" t="s">
        <v>110</v>
      </c>
      <c r="E16" s="2">
        <f>(3.546+3.614)/2*2.1*1.8</f>
        <v>13.532400000000001</v>
      </c>
      <c r="F16" s="2"/>
      <c r="G16" s="6"/>
      <c r="H16" s="6" t="s">
        <v>111</v>
      </c>
      <c r="I16" s="6"/>
      <c r="J16" s="2">
        <f>(2.714+2.579+2.969+2.651+2.684+3.096+4.315+2.485)/8</f>
        <v>2.9366249999999998</v>
      </c>
      <c r="K16" s="2"/>
      <c r="L16" s="6"/>
    </row>
    <row r="17" spans="2:12">
      <c r="B17" s="6"/>
      <c r="C17" s="6"/>
      <c r="D17" s="6" t="s">
        <v>111</v>
      </c>
      <c r="E17" s="2">
        <f>(3.546+3.614)/2</f>
        <v>3.58</v>
      </c>
      <c r="F17" s="2"/>
      <c r="G17" s="6"/>
      <c r="H17" s="6"/>
      <c r="I17" s="6"/>
      <c r="J17" s="2"/>
      <c r="K17" s="2"/>
      <c r="L17" s="6"/>
    </row>
    <row r="18" spans="2:12">
      <c r="B18" s="6"/>
      <c r="C18" s="6"/>
      <c r="D18" s="6"/>
      <c r="F18" s="2"/>
      <c r="G18" s="6" t="s">
        <v>116</v>
      </c>
      <c r="H18" s="6" t="s">
        <v>109</v>
      </c>
      <c r="I18" s="6"/>
      <c r="J18" s="2">
        <f>1.2*1.1</f>
        <v>1.32</v>
      </c>
      <c r="K18" s="2">
        <f>J18*(9+6)</f>
        <v>19.8</v>
      </c>
      <c r="L18" s="6"/>
    </row>
    <row r="19" spans="2:12">
      <c r="B19" s="6"/>
      <c r="C19" s="6"/>
      <c r="D19" s="6"/>
      <c r="F19" s="2"/>
      <c r="G19" s="6"/>
      <c r="H19" s="6" t="s">
        <v>110</v>
      </c>
      <c r="I19" s="6"/>
      <c r="J19" s="2">
        <f>J18*J20</f>
        <v>3.9432907317073198</v>
      </c>
      <c r="K19" s="2">
        <f>J19*(9+6)</f>
        <v>59.149360975609802</v>
      </c>
      <c r="L19" s="6"/>
    </row>
    <row r="20" spans="2:12">
      <c r="B20" s="6"/>
      <c r="C20" s="6"/>
      <c r="D20" s="6"/>
      <c r="F20" s="2"/>
      <c r="G20" s="6"/>
      <c r="H20" s="6" t="s">
        <v>111</v>
      </c>
      <c r="I20" s="6"/>
      <c r="J20" s="2">
        <f>(2.924+2.87+2.81+2.781+2.735+2.684+2.186+2.403+3.603+2.688+2.528+2.448+2.471+3.077+3.213+3.225+3.289+3.159+3.106+3.084+3.049+3.111+3.35+4.34+4.025+3.215+2.871+2.595+2.317+2.484+2.362+2.198+1.958+2.694+3.532+4.7+4.438+2.901+2.848+2.734+3.475)/41</f>
        <v>2.98734146341463</v>
      </c>
      <c r="K20" s="2"/>
      <c r="L20" s="6"/>
    </row>
    <row r="21" spans="2:12">
      <c r="B21" s="6"/>
      <c r="C21" s="6"/>
      <c r="D21" s="6"/>
      <c r="F21" s="2"/>
      <c r="G21" s="6"/>
      <c r="H21" s="6"/>
      <c r="I21" s="6"/>
    </row>
    <row r="22" spans="2:12">
      <c r="B22" s="6"/>
      <c r="C22" s="6"/>
      <c r="D22" s="6"/>
      <c r="F22" s="2"/>
      <c r="G22" s="6" t="s">
        <v>117</v>
      </c>
      <c r="H22" s="6" t="s">
        <v>109</v>
      </c>
      <c r="I22" s="6"/>
      <c r="J22" s="2">
        <f>2*1.5</f>
        <v>3</v>
      </c>
      <c r="K22" s="2"/>
    </row>
    <row r="23" spans="2:12">
      <c r="B23" s="6"/>
      <c r="C23" s="6"/>
      <c r="D23" s="6"/>
      <c r="F23" s="2"/>
      <c r="G23" s="6"/>
      <c r="H23" s="6" t="s">
        <v>110</v>
      </c>
      <c r="I23" s="6"/>
      <c r="J23" s="2">
        <f>J22*J24</f>
        <v>7.8689999999999998</v>
      </c>
      <c r="K23" s="2"/>
    </row>
    <row r="24" spans="2:12">
      <c r="B24" s="6"/>
      <c r="C24" s="6"/>
      <c r="D24" s="6"/>
      <c r="F24" s="2"/>
      <c r="G24" s="6"/>
      <c r="H24" s="6" t="s">
        <v>111</v>
      </c>
      <c r="I24" s="6"/>
      <c r="J24" s="2">
        <f>2.623</f>
        <v>2.6230000000000002</v>
      </c>
      <c r="K24" s="2"/>
    </row>
    <row r="25" spans="2:12">
      <c r="B25" s="6"/>
      <c r="C25" s="6"/>
      <c r="D25" s="6"/>
      <c r="F25" s="2"/>
      <c r="G25" s="6"/>
      <c r="H25" s="6"/>
      <c r="I25" s="6"/>
    </row>
    <row r="26" spans="2:12">
      <c r="B26" s="6"/>
      <c r="C26" s="6"/>
      <c r="D26" s="6"/>
      <c r="F26" s="2"/>
      <c r="G26" s="6">
        <v>700</v>
      </c>
      <c r="H26" s="6" t="s">
        <v>109</v>
      </c>
      <c r="I26" s="6"/>
      <c r="J26" s="2">
        <f>0.7*3.14</f>
        <v>2.198</v>
      </c>
      <c r="K26" s="2"/>
    </row>
    <row r="27" spans="2:12">
      <c r="B27" s="6"/>
      <c r="C27" s="6"/>
      <c r="D27" s="6"/>
      <c r="F27" s="2"/>
      <c r="G27" s="6"/>
      <c r="H27" s="6" t="s">
        <v>110</v>
      </c>
      <c r="I27" s="6"/>
      <c r="J27" s="2">
        <f>0.35*0.35*3.14*J28</f>
        <v>0.73352755000000003</v>
      </c>
      <c r="K27" s="2"/>
    </row>
    <row r="28" spans="2:12">
      <c r="B28" s="6"/>
      <c r="C28" s="6"/>
      <c r="D28" s="6"/>
      <c r="F28" s="2"/>
      <c r="G28" s="6"/>
      <c r="H28" s="6" t="s">
        <v>111</v>
      </c>
      <c r="I28" s="6"/>
      <c r="J28" s="2">
        <f>(1.182+2.269+2.151+2.152+1.781)/5</f>
        <v>1.907</v>
      </c>
      <c r="K28" s="2"/>
    </row>
    <row r="29" spans="2:12">
      <c r="B29" s="6"/>
      <c r="C29" s="6"/>
      <c r="D29" s="6"/>
      <c r="F29" s="2"/>
      <c r="G29" s="6"/>
      <c r="H29" s="6"/>
      <c r="I29" s="6"/>
    </row>
    <row r="30" spans="2:12">
      <c r="G30" s="6" t="s">
        <v>118</v>
      </c>
      <c r="H30" s="6" t="s">
        <v>109</v>
      </c>
      <c r="I30" s="6"/>
      <c r="J30" s="2">
        <f>0.7*3.14</f>
        <v>2.198</v>
      </c>
      <c r="K30" s="2">
        <f>J30*(5+1)</f>
        <v>13.188000000000001</v>
      </c>
    </row>
    <row r="31" spans="2:12">
      <c r="G31" s="6"/>
      <c r="H31" s="6" t="s">
        <v>110</v>
      </c>
      <c r="I31" s="6"/>
      <c r="J31" s="2">
        <f>0.35*0.35*3.14*J32</f>
        <v>0.96162499999999995</v>
      </c>
      <c r="K31" s="2">
        <f>J31*(5+1)</f>
        <v>5.7697500000000002</v>
      </c>
    </row>
    <row r="32" spans="2:12">
      <c r="G32" s="6"/>
      <c r="H32" s="6" t="s">
        <v>111</v>
      </c>
      <c r="I32" s="6"/>
      <c r="J32" s="2">
        <f>(3.593+1.883+1.794+1.803+2.101+2.274+4.052)/7</f>
        <v>2.5</v>
      </c>
      <c r="K32" s="2"/>
    </row>
    <row r="34" spans="7:11">
      <c r="G34" s="6" t="s">
        <v>115</v>
      </c>
      <c r="H34" s="6" t="s">
        <v>109</v>
      </c>
      <c r="I34" s="6"/>
      <c r="J34" s="2">
        <f>2.1*1.8</f>
        <v>3.78</v>
      </c>
      <c r="K34" s="2"/>
    </row>
    <row r="35" spans="7:11">
      <c r="G35" s="6"/>
      <c r="H35" s="6" t="s">
        <v>110</v>
      </c>
      <c r="I35" s="6"/>
      <c r="J35" s="2">
        <f>J34*J36</f>
        <v>13.781879999999999</v>
      </c>
      <c r="K35" s="2"/>
    </row>
    <row r="36" spans="7:11">
      <c r="G36" s="6"/>
      <c r="H36" s="6" t="s">
        <v>111</v>
      </c>
      <c r="I36" s="6"/>
      <c r="J36" s="2">
        <v>3.6459999999999999</v>
      </c>
      <c r="K36" s="2"/>
    </row>
    <row r="41" spans="7:11">
      <c r="H41" t="e">
        <f>F12+F6+F16+K15+K19+K6+K11+#REF!+K23+K27+K31+K35</f>
        <v>#REF!</v>
      </c>
      <c r="J41" s="3" t="e">
        <f>H41-#REF!</f>
        <v>#REF!</v>
      </c>
    </row>
  </sheetData>
  <phoneticPr fontId="20" type="noConversion"/>
  <pageMargins left="0.75" right="0.75" top="1" bottom="1" header="0.5" footer="0.5"/>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命名范围</vt:lpstr>
      </vt:variant>
      <vt:variant>
        <vt:i4>2</vt:i4>
      </vt:variant>
    </vt:vector>
  </HeadingPairs>
  <TitlesOfParts>
    <vt:vector size="4" baseType="lpstr">
      <vt:lpstr>Sheet1</vt:lpstr>
      <vt:lpstr>Sheet2</vt:lpstr>
      <vt:lpstr>Sheet1!Print_Area</vt:lpstr>
      <vt:lpstr>Sheet1!Print_Titles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余玲玲</dc:creator>
  <cp:lastModifiedBy>Administrator</cp:lastModifiedBy>
  <dcterms:created xsi:type="dcterms:W3CDTF">2024-04-28T02:07:00Z</dcterms:created>
  <dcterms:modified xsi:type="dcterms:W3CDTF">2025-02-14T03:12:17Z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8160722F78F24EA6BE6AA1E3C887AAEB_13</vt:lpwstr>
  </property>
  <property fmtid="{D5CDD505-2E9C-101B-9397-08002B2CF9AE}" pid="3" name="KSOProductBuildVer">
    <vt:lpwstr>2052-12.1.0.19770</vt:lpwstr>
  </property>
  <property fmtid="{D5CDD505-2E9C-101B-9397-08002B2CF9AE}" pid="4" name="KSOReadingLayout">
    <vt:bool>true</vt:bool>
  </property>
</Properties>
</file>