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5" rupBuild="4506"/>
  <workbookPr/>
  <bookViews>
    <workbookView xWindow="0" yWindow="0" windowWidth="24000" windowHeight="9840"/>
  </bookViews>
  <sheets>
    <sheet name="LJFB-1" sheetId="11" r:id="rId1"/>
    <sheet name="LJFB-2" sheetId="10" r:id="rId2"/>
    <sheet name="LJFB-3" sheetId="9" r:id="rId3"/>
  </sheets>
  <definedNames>
    <definedName name="_xlnm.Print_Area" localSheetId="0">'LJFB-1'!$A$1:$I$101</definedName>
    <definedName name="_xlnm.Print_Area" localSheetId="1">'LJFB-2'!$A$1:$I$103</definedName>
    <definedName name="_xlnm.Print_Area" localSheetId="2">'LJFB-3'!$A$1:$I$84</definedName>
    <definedName name="_xlnm.Print_Titles" localSheetId="0">'LJFB-1'!$1:$2</definedName>
    <definedName name="_xlnm.Print_Titles" localSheetId="1">'LJFB-2'!$1:$2</definedName>
    <definedName name="_xlnm.Print_Titles" localSheetId="2">'LJFB-3'!$1:$2</definedName>
  </definedNames>
  <calcPr calcId="125725"/>
</workbook>
</file>

<file path=xl/calcChain.xml><?xml version="1.0" encoding="utf-8"?>
<calcChain xmlns="http://schemas.openxmlformats.org/spreadsheetml/2006/main">
  <c r="F76" i="9"/>
  <c r="D75"/>
  <c r="D74"/>
  <c r="F74" s="1"/>
  <c r="F73"/>
  <c r="D72"/>
  <c r="F72" s="1"/>
  <c r="F71"/>
  <c r="D71"/>
  <c r="F69"/>
  <c r="F68"/>
  <c r="F67"/>
  <c r="D66"/>
  <c r="F66" s="1"/>
  <c r="D65"/>
  <c r="F65" s="1"/>
  <c r="F62"/>
  <c r="F61"/>
  <c r="F60"/>
  <c r="F59"/>
  <c r="F58"/>
  <c r="F57"/>
  <c r="F56"/>
  <c r="D54"/>
  <c r="F54" s="1"/>
  <c r="F53"/>
  <c r="F52"/>
  <c r="F51"/>
  <c r="D51"/>
  <c r="F50"/>
  <c r="F49"/>
  <c r="F48"/>
  <c r="F47"/>
  <c r="F46"/>
  <c r="F44"/>
  <c r="F43"/>
  <c r="D41"/>
  <c r="F41" s="1"/>
  <c r="F40"/>
  <c r="F38"/>
  <c r="D38"/>
  <c r="F37"/>
  <c r="F34"/>
  <c r="F33"/>
  <c r="F32"/>
  <c r="F31"/>
  <c r="F30"/>
  <c r="D30"/>
  <c r="F28"/>
  <c r="F27"/>
  <c r="F25"/>
  <c r="F24"/>
  <c r="F22"/>
  <c r="D21"/>
  <c r="F21" s="1"/>
  <c r="F19"/>
  <c r="F18"/>
  <c r="F17"/>
  <c r="F16"/>
  <c r="F15"/>
  <c r="F13"/>
  <c r="F12"/>
  <c r="F11"/>
  <c r="F10"/>
  <c r="F8"/>
  <c r="F6"/>
  <c r="F5"/>
  <c r="E3"/>
  <c r="F95" i="10"/>
  <c r="D94"/>
  <c r="F94" s="1"/>
  <c r="D93"/>
  <c r="D92"/>
  <c r="F92" s="1"/>
  <c r="F91"/>
  <c r="D90"/>
  <c r="F90" s="1"/>
  <c r="D89"/>
  <c r="F89" s="1"/>
  <c r="D87"/>
  <c r="F87" s="1"/>
  <c r="F86"/>
  <c r="D85"/>
  <c r="F85" s="1"/>
  <c r="D84"/>
  <c r="F84" s="1"/>
  <c r="D82"/>
  <c r="F82" s="1"/>
  <c r="F81"/>
  <c r="D80"/>
  <c r="F80" s="1"/>
  <c r="D79"/>
  <c r="F79" s="1"/>
  <c r="D78"/>
  <c r="D77"/>
  <c r="F77" s="1"/>
  <c r="F76"/>
  <c r="F75"/>
  <c r="D75"/>
  <c r="D74"/>
  <c r="F74" s="1"/>
  <c r="D72"/>
  <c r="F72" s="1"/>
  <c r="D71"/>
  <c r="F71" s="1"/>
  <c r="D70"/>
  <c r="F70" s="1"/>
  <c r="D69"/>
  <c r="F69" s="1"/>
  <c r="F68"/>
  <c r="F67"/>
  <c r="F66"/>
  <c r="F65"/>
  <c r="F64"/>
  <c r="D64"/>
  <c r="F61"/>
  <c r="F60"/>
  <c r="F59"/>
  <c r="F58"/>
  <c r="F57"/>
  <c r="F56"/>
  <c r="F55"/>
  <c r="D55"/>
  <c r="F53"/>
  <c r="F52"/>
  <c r="F51"/>
  <c r="F50"/>
  <c r="D49"/>
  <c r="F49" s="1"/>
  <c r="F48"/>
  <c r="F47"/>
  <c r="D46"/>
  <c r="F46" s="1"/>
  <c r="F43"/>
  <c r="D41"/>
  <c r="F41" s="1"/>
  <c r="F40"/>
  <c r="D38"/>
  <c r="F38" s="1"/>
  <c r="F37"/>
  <c r="F34"/>
  <c r="F33"/>
  <c r="F32"/>
  <c r="F31"/>
  <c r="D30"/>
  <c r="F30" s="1"/>
  <c r="F28"/>
  <c r="F27"/>
  <c r="D25"/>
  <c r="F25" s="1"/>
  <c r="D24"/>
  <c r="F24" s="1"/>
  <c r="F22"/>
  <c r="F21"/>
  <c r="F19"/>
  <c r="F18"/>
  <c r="F17"/>
  <c r="F16"/>
  <c r="F15"/>
  <c r="F14"/>
  <c r="F12"/>
  <c r="F11"/>
  <c r="F10"/>
  <c r="F8"/>
  <c r="F6"/>
  <c r="F5"/>
  <c r="E3"/>
  <c r="F93" i="11"/>
  <c r="F92"/>
  <c r="D90"/>
  <c r="F90" s="1"/>
  <c r="F89"/>
  <c r="F88"/>
  <c r="D88"/>
  <c r="D87"/>
  <c r="F87" s="1"/>
  <c r="D86"/>
  <c r="D85"/>
  <c r="F85" s="1"/>
  <c r="F84"/>
  <c r="D83"/>
  <c r="F83" s="1"/>
  <c r="D82"/>
  <c r="F82" s="1"/>
  <c r="D80"/>
  <c r="F80" s="1"/>
  <c r="F79"/>
  <c r="D78"/>
  <c r="F78" s="1"/>
  <c r="D77"/>
  <c r="F77" s="1"/>
  <c r="D75"/>
  <c r="F75" s="1"/>
  <c r="F74"/>
  <c r="D73"/>
  <c r="F73" s="1"/>
  <c r="D72"/>
  <c r="F72" s="1"/>
  <c r="F70"/>
  <c r="D70"/>
  <c r="D69"/>
  <c r="F69" s="1"/>
  <c r="D68"/>
  <c r="F68" s="1"/>
  <c r="D67"/>
  <c r="F67" s="1"/>
  <c r="D66"/>
  <c r="F66" s="1"/>
  <c r="D65"/>
  <c r="F65" s="1"/>
  <c r="F64"/>
  <c r="D64"/>
  <c r="D63"/>
  <c r="F63" s="1"/>
  <c r="D62"/>
  <c r="F62" s="1"/>
  <c r="F59"/>
  <c r="F58"/>
  <c r="F57"/>
  <c r="F56"/>
  <c r="F55"/>
  <c r="F54"/>
  <c r="D53"/>
  <c r="F53" s="1"/>
  <c r="D51"/>
  <c r="F51" s="1"/>
  <c r="F50"/>
  <c r="F49"/>
  <c r="D47"/>
  <c r="D48" s="1"/>
  <c r="F48" s="1"/>
  <c r="F46"/>
  <c r="F45"/>
  <c r="F44"/>
  <c r="F41"/>
  <c r="D38"/>
  <c r="D39" s="1"/>
  <c r="F39" s="1"/>
  <c r="F36"/>
  <c r="F35"/>
  <c r="F32"/>
  <c r="F31"/>
  <c r="F30"/>
  <c r="D29"/>
  <c r="F29" s="1"/>
  <c r="D28"/>
  <c r="F28" s="1"/>
  <c r="F26"/>
  <c r="F24"/>
  <c r="D23"/>
  <c r="F23" s="1"/>
  <c r="F21"/>
  <c r="F20"/>
  <c r="F18"/>
  <c r="F17"/>
  <c r="F16"/>
  <c r="F15"/>
  <c r="F14"/>
  <c r="F12"/>
  <c r="F11"/>
  <c r="F10"/>
  <c r="F8"/>
  <c r="F6"/>
  <c r="F5"/>
  <c r="E3"/>
  <c r="F38" l="1"/>
  <c r="F47"/>
  <c r="F94" s="1"/>
  <c r="F96" i="10"/>
  <c r="F77" i="9"/>
</calcChain>
</file>

<file path=xl/sharedStrings.xml><?xml version="1.0" encoding="utf-8"?>
<sst xmlns="http://schemas.openxmlformats.org/spreadsheetml/2006/main" count="1157" uniqueCount="272">
  <si>
    <t xml:space="preserve"> 上饶野生动物乐园主干道道路工程路基工程量清单（LJFB-1标MK0+000~MK2+380.418）</t>
  </si>
  <si>
    <t>细目号</t>
  </si>
  <si>
    <t>细目名称</t>
  </si>
  <si>
    <t>单位</t>
  </si>
  <si>
    <t>暂定工程量</t>
  </si>
  <si>
    <t>单价（元）</t>
  </si>
  <si>
    <t>合价</t>
  </si>
  <si>
    <t>主要工作内容</t>
  </si>
  <si>
    <t>计量规则</t>
  </si>
  <si>
    <t>备注</t>
  </si>
  <si>
    <t>一</t>
  </si>
  <si>
    <t>安全生产费</t>
  </si>
  <si>
    <t>项</t>
  </si>
  <si>
    <t xml:space="preserve">    作业人员安全帽、反光衣、人身保险费，施工现场安全围挡、安全标识标牌、安全锥等安全设施设置、维护及转场，洒水降尘，安全锥、限速牌、导向牌、警示牌、爆闪灯按甲方要求购置，施工路段交通指挥、疏导（乙方必须配备至少1名以上安全员以及一辆安全巡查专用车）等与安全有关的工作内容。</t>
  </si>
  <si>
    <t>本项是在本劳务分包工程量清单各细目综合单价中已包含安全经费的基础上综合考虑再增设的费用。本细目按计量进度支付，各项安全警示标志、导向牌等安全设施到位满足开工条件后计量支付0.2；其后每次计量支付0.1用于安全设施维修、补缺及安全人员等费用，累计计量支付至0.8，乙方全部完工退场后计量支付至0.9，本项目交工验收后计量至1.0。如乙方不配合，不服从业主、监理或甲方管理人员指挥，甲方将另外组织人员实施，费用甲方直接从乙方的安全生产费中扣除，不足部分则从乙方计量款中扣除。除施工区间公里桩、公告牌、限高架由甲方提供外，其余所有人工、材料、设备（含吊车、挖机、发电机及施工用电设施及甲方提供的安全设施的安装、维修等）等均由乙方提供及实施（围挡随施工点搬迁的费用、施工点导向警示牌、LED灯、爆闪灯、标志标牌、安全锥、基坑围挡、人身保险费、洒水车等），费用已含在综合单价中，不另行计量。施工过程中甲方仅只提供公里桩、公告牌、限高架，乙方应对甲方提供的安全设施进行维护、维修，如损耗过大超过10％，则超过的10％的部份由乙方承担费用，甲方将从乙方的计量款中扣除。</t>
  </si>
  <si>
    <t>201-1</t>
  </si>
  <si>
    <t>清理与掘除</t>
  </si>
  <si>
    <t xml:space="preserve">   -a</t>
  </si>
  <si>
    <t>清理现场</t>
  </si>
  <si>
    <t>m3</t>
  </si>
  <si>
    <t>红线沟开挖及红线桩的埋设，路基排水、灌木、竹林、树木的砍伐及挖根（直径10cm以内）；按设计图纸清除场地表面范围内的垃圾、废料、土（腐殖土）、石头、草皮；清除房屋门口砼路面（切割机切割边线）；与清理现场有关的一切挖运、坑穴的回填、整平、压实；适用材料的装卸移运堆放及非适用材料的移运堆放；现场清理等所有与清除表土、素填土、杂填土有关的工作内容。</t>
  </si>
  <si>
    <t xml:space="preserve">   -b</t>
  </si>
  <si>
    <t>回填土</t>
  </si>
  <si>
    <r>
      <rPr>
        <sz val="9.5"/>
        <color indexed="8"/>
        <rFont val="Arial Narrow"/>
        <family val="2"/>
      </rPr>
      <t xml:space="preserve">     </t>
    </r>
    <r>
      <rPr>
        <sz val="9.5"/>
        <color indexed="8"/>
        <rFont val="宋体"/>
        <family val="3"/>
        <charset val="134"/>
      </rPr>
      <t>低填浅挖处理、填挖交界处理、半填半挖处理、挖台阶处理、陡坡路堤处理、新旧路衔接等特殊路基台阶设置；取土场便道、便涵填筑及维护、施工便道及施工区洒水抑尘；借土、石场场地清理、清除不适用材料；</t>
    </r>
    <r>
      <rPr>
        <sz val="9.5"/>
        <color indexed="8"/>
        <rFont val="Arial Narrow"/>
        <family val="2"/>
      </rPr>
      <t xml:space="preserve"> </t>
    </r>
    <r>
      <rPr>
        <sz val="9.5"/>
        <color indexed="8"/>
        <rFont val="宋体"/>
        <family val="3"/>
        <charset val="134"/>
      </rPr>
      <t>基底翻松、压实、挖台阶；</t>
    </r>
    <r>
      <rPr>
        <sz val="9.5"/>
        <color indexed="8"/>
        <rFont val="Arial Narrow"/>
        <family val="2"/>
      </rPr>
      <t xml:space="preserve"> </t>
    </r>
    <r>
      <rPr>
        <sz val="9.5"/>
        <color indexed="8"/>
        <rFont val="宋体"/>
        <family val="3"/>
        <charset val="134"/>
      </rPr>
      <t>挖、装、运输</t>
    </r>
    <r>
      <rPr>
        <sz val="9.5"/>
        <color indexed="8"/>
        <rFont val="Arial Narrow"/>
        <family val="2"/>
      </rPr>
      <t>1km</t>
    </r>
    <r>
      <rPr>
        <sz val="9.5"/>
        <color indexed="8"/>
        <rFont val="宋体"/>
        <family val="3"/>
        <charset val="134"/>
      </rPr>
      <t>内、卸车；分层摊铺；洒水、压实、刷坡、路基补强；施工排水处理；借土场整型等所有与借土填方有关的工作内容。</t>
    </r>
  </si>
  <si>
    <t xml:space="preserve">    依据图纸所示地面线、路基设计横断面图并经现场实际验收合格，按平均断面面积法计算压实的体积，按双方核定的设计（含变更设计）内的数量以立方米为单位计量；满足施工需要，便道、便涵填筑及维护、施工便道及施工区洒水抑尘、台阶开挖及回填、预留路基宽度超宽填的填方量及地面下沉增加的填方量、路基补强所需费用（含大型冲击锤补强，或者采用强夯机夯实发生的费用）、安全防护措施等作为路基填筑的附属工作，不另行计量；边沟、排水沟、截水沟、排水工程开挖土方、取土场清表、砍挖树木等费用已含在综合单价中，不另行计量。；运输1km内已含在综合单价中，每超过500m运距综合单价增加费用0.7元/m3。当甲方发现填方路基完工后沉降可以随时要求乙方配备26t以上压路机，或者采用强夯机夯实，发生的费用由乙方承担。</t>
  </si>
  <si>
    <t>203-1</t>
  </si>
  <si>
    <t>路基挖方</t>
  </si>
  <si>
    <t>挖土方</t>
  </si>
  <si>
    <t>低填浅挖、半填半挖、填挖交界、陡坡地段、新旧路衔接等特殊路基台阶设置；便道、便涵填筑及维护、施工便道及施工区洒水抑尘；挖、装、运输、卸车；填料分理、弃土整型、压实；.施工排水处理；.边坡整修、路床顶面以下挖松深 300mm 再压实、路床清理、交工验收等所有与挖土方有关的工作内容。</t>
  </si>
  <si>
    <t xml:space="preserve">依据图纸所示地面线、路基设计横断面图、图纸所示路基土石比例（实际如有不符，不予调整）并经现场实际验收合格，采用平均断面面积法计算，按照天然密实体积按双方核定的设计（含变更设计）内的数量以立方米为单位计量；便道便涵填筑及维护、 台阶开挖、施工便道及施工区洒水抑尘、路床顶面以下挖松深300mm 再压实、安全防护措施等作为挖土方的附属工作，不另行计量；边沟、排水沟、截水沟、排水工程等开挖土方费用已含在综合单价中，不另行计量。
</t>
  </si>
  <si>
    <t>挖石方</t>
  </si>
  <si>
    <t>挖软石</t>
  </si>
  <si>
    <r>
      <rPr>
        <sz val="9.5"/>
        <rFont val="Arial Narrow"/>
        <family val="2"/>
      </rPr>
      <t xml:space="preserve">      </t>
    </r>
    <r>
      <rPr>
        <sz val="9.5"/>
        <rFont val="宋体"/>
        <family val="3"/>
        <charset val="134"/>
      </rPr>
      <t>低填浅挖、半填半挖、填挖交界、陡坡地段、新旧路衔接等特殊路基台阶设置；便道、便涵填筑及维护、施工便道及施工区洒水抑尘；石方爆破、清理工作面（含解小至符合填筑要求）；挖、装、运输、卸车；填料分理、弃土整型、压实；</t>
    </r>
    <r>
      <rPr>
        <sz val="9.5"/>
        <rFont val="Arial Narrow"/>
        <family val="2"/>
      </rPr>
      <t>.</t>
    </r>
    <r>
      <rPr>
        <sz val="9.5"/>
        <rFont val="宋体"/>
        <family val="3"/>
        <charset val="134"/>
      </rPr>
      <t>施工排水处理；边坡整修、路床顶面凿平或石渣填平压实、路床清理等、交工所有与挖石方有关的工作内容。</t>
    </r>
  </si>
  <si>
    <r>
      <rPr>
        <sz val="9.5"/>
        <color rgb="FF000000"/>
        <rFont val="Arial Narrow"/>
        <family val="2"/>
      </rPr>
      <t xml:space="preserve">        </t>
    </r>
    <r>
      <rPr>
        <sz val="9.5"/>
        <color rgb="FF000000"/>
        <rFont val="宋体"/>
        <family val="3"/>
        <charset val="134"/>
      </rPr>
      <t>依据图纸所示地面线、路基设计横断面图、图纸所示路基土石比例（实际如有不符，不予调整）并经现场实际验收合格，采用平均断面面积法计算，按照天然密实体积按双方核定的设计（含变更设计）内的数量以立方米为单位计量；便道便涵填筑及维护、施工便道及施工区洒水抑尘、</t>
    </r>
    <r>
      <rPr>
        <sz val="9.5"/>
        <color rgb="FF000000"/>
        <rFont val="Arial Narrow"/>
        <family val="2"/>
      </rPr>
      <t xml:space="preserve"> </t>
    </r>
    <r>
      <rPr>
        <sz val="9.5"/>
        <color rgb="FF000000"/>
        <rFont val="宋体"/>
        <family val="3"/>
        <charset val="134"/>
      </rPr>
      <t xml:space="preserve">台阶开挖、边沟、排水沟、截水沟、临时排水工程等开挖石方费用已含在综合单价中，不另行计量；爆破手续及安全手续的办理、爆破耗材、安全防护设施、安全人员等所需费用已含在综合单价中，不另行计量；如乙方采用非爆破方法开挖，计量按综合单价执行，不予调整。
</t>
    </r>
  </si>
  <si>
    <t>挖次坚石/坚石</t>
  </si>
  <si>
    <t>-c</t>
  </si>
  <si>
    <t>挖除非适用性材料（不含淤泥）</t>
  </si>
  <si>
    <t>低填浅挖、填挖交界处理、</t>
  </si>
  <si>
    <t xml:space="preserve"> 依据图纸所示位置并经现场实际验收合格，挖除平交道范围内按双方核定的设计（含变更设计）内的数量以立方米为单位计量；路基范围以外临时工程用地、场地清理、取、弃土场等清除表土费用、弃土整平费用已含在综合单价中，不另行计量。计量时须提供现场测量、签认的映像资料。弃土运距已考虑综合里程，费用包含在综合单价中，施工中不因弃土运距的远近进行调价。</t>
  </si>
  <si>
    <t xml:space="preserve">   -d</t>
  </si>
  <si>
    <t>挖除淤泥</t>
  </si>
  <si>
    <t>施工排水处理；挖除、装载、运输至弃土场、卸车、统一堆放至弃土场整形；现场清理等所有与清除淤泥有关的工作内容。（淤泥指水塘、软土地基）</t>
  </si>
  <si>
    <t>依据图纸所示位置并经现场实际验收合格，挖除路基范围内淤泥按双方核定的设计（含变更设计）内的数量以立方米为单位计量；路基范围以外临时工程用地、场地清理、取、弃土场等清除表土费用及弃土整平费用、安全防护措施等已含在综合单价中，不另行计量。计量时须提供现场测量、签认的映像资料。弃土运距已考虑综合里程，费用包含在综合单价中，施工中不因弃土运距的远近进行调价。</t>
  </si>
  <si>
    <t>204-1</t>
  </si>
  <si>
    <t>路基填筑（包括填前压实）</t>
  </si>
  <si>
    <t>利用土方</t>
  </si>
  <si>
    <r>
      <rPr>
        <sz val="9.5"/>
        <color indexed="8"/>
        <rFont val="宋体"/>
        <family val="3"/>
        <charset val="134"/>
      </rPr>
      <t>填浅挖、半填半挖、陡坡地段、填挖交界、新旧路衔接等特殊路基台阶设置；便道、便涵填筑及维护、施工便道及施工区洒水抑尘；基底翻松、压实、挖台阶；</t>
    </r>
    <r>
      <rPr>
        <sz val="9.5"/>
        <color indexed="8"/>
        <rFont val="Arial Narrow"/>
        <family val="2"/>
      </rPr>
      <t>.</t>
    </r>
    <r>
      <rPr>
        <sz val="9.5"/>
        <color indexed="8"/>
        <rFont val="宋体"/>
        <family val="3"/>
        <charset val="134"/>
      </rPr>
      <t>临时排水、</t>
    </r>
    <r>
      <rPr>
        <sz val="9.5"/>
        <color indexed="8"/>
        <rFont val="Arial Narrow"/>
        <family val="2"/>
      </rPr>
      <t xml:space="preserve"> </t>
    </r>
    <r>
      <rPr>
        <sz val="9.5"/>
        <color indexed="8"/>
        <rFont val="宋体"/>
        <family val="3"/>
        <charset val="134"/>
      </rPr>
      <t>翻晒；机械整平、分层摊铺；洒水、压实（含小型机具夯实）、刷坡、路基补强；修整边坡、路床整型、路床交验等所有与填方有关的工作内容。</t>
    </r>
  </si>
  <si>
    <t xml:space="preserve">    依据图纸所示地面线、路基设计横断面图并经现场实际验收合格，按平均断面面积法计算压实的体积，按双方核定的设计（含变更设计）内的数量以立方米为单位计量；满足施工需要，低填浅挖、半填半挖、填挖交界、陡坡地段、新旧路衔接等特殊路基台阶开挖及回填、预留路基宽度宽填的填方量、便道、便涵填筑及维护、施工便道及施工区洒水抑尘、台背回填及地面下沉增加的填方量、路基补强所需费用（含大型冲击锤补强，或者采用强夯机夯实发生的费用）、安全防护措施等作为路基填筑的附属工作，费用已含在综合单价中，不另行计量。特别说明：本标段有高填方段，必须严格按照施工规范施工，至少配备26t以上压路机，确保路基压实度符合要求，当甲方发现填方路基完工后沉降可以随时要求乙方配备大型冲击锤补强，或者采用强夯机夯实，发生的费用由乙方承担。</t>
  </si>
  <si>
    <t xml:space="preserve">   -c</t>
  </si>
  <si>
    <t>利用石方</t>
  </si>
  <si>
    <r>
      <rPr>
        <sz val="9.5"/>
        <color rgb="FF000000"/>
        <rFont val="Times New Roman"/>
        <family val="1"/>
      </rPr>
      <t xml:space="preserve">       </t>
    </r>
    <r>
      <rPr>
        <sz val="9.5"/>
        <color indexed="8"/>
        <rFont val="宋体"/>
        <family val="3"/>
        <charset val="134"/>
      </rPr>
      <t>低填浅挖、半填半挖、陡坡地段、填挖交界、新旧路衔接等特殊路基台阶设置；便道、便涵填筑及维护、施工便道及施工区洒水抑尘；基底翻松、压实，挖台阶；临时排水、</t>
    </r>
    <r>
      <rPr>
        <sz val="9.5"/>
        <color indexed="8"/>
        <rFont val="Times New Roman"/>
        <family val="1"/>
      </rPr>
      <t xml:space="preserve"> </t>
    </r>
    <r>
      <rPr>
        <sz val="9.5"/>
        <color indexed="8"/>
        <rFont val="宋体"/>
        <family val="3"/>
        <charset val="134"/>
      </rPr>
      <t>翻晒；边坡码砌；机械整平、分层摊铺；小石块（或石屑）填缝、找补；洒水、压实（含小型机具夯实）、路基补强；修整边坡、路床整型、路床交验等所有与填方有关的工作内容。</t>
    </r>
  </si>
  <si>
    <t xml:space="preserve">    依据图纸所示地面线、路基设计横断面图并经现场实际验收合格，按平均断面面积法计算压实的体积，按双方核定的设计（含变更设计）内的数量以立方米为单位计量；满足施工需要，低填浅挖、半填半挖、填挖交界、陡坡地段、新旧路衔接等特殊路基台阶开挖及回填、预留路基宽度宽填的填方量、便涵填筑及维护、施工便道及施工区洒水抑尘、台背回填及地面下沉增加的填方量、路基补强所需费用（含大型冲击锤补强，或者采用强夯机夯实发生的费用）、安全防护措施等作为路基填筑的附属工作，费用已含在综合单价中，不另行计量。特别说明：乙方必须严格按照施工规范施工，确保路基压实度符合要求，当甲方发现填方路基完工后沉降可以随时要求乙方配备26t以上压路机进行补压，或者采用强夯机夯实，发生的费用由乙方承担。</t>
  </si>
  <si>
    <t xml:space="preserve">   -e</t>
  </si>
  <si>
    <t>借土填方</t>
  </si>
  <si>
    <t xml:space="preserve">    依据图纸所示地面线、路基设计横断面图并经现场实际验收合格，按平均断面面积法计算压实的体积，按双方核定的设计（含变更设计）内的数量以立方米为单位计量；满足施工需要，便道、便涵填筑及维护、施工便道及施工区洒水抑尘、台阶开挖及回填、台背回填、预留路基宽度宽填的填方量及地面下沉增加的填方量、路基补强所需费用（含大型冲击锤补强，或者采用强夯机夯实发生的费用）、安全防护措施等作为路基填筑的附属工作，不另行计量；边沟、排水沟、截水沟、临时排水、取土场清表、砍挖树木等费用已含在综合单价中，不另行计量。运输1km内已含在综合单价中，每超过500m运距综合单价增加费用0.70元/m3。特别说明：为确保路基压实度符合要求，当甲方发现填方路基完工后沉降可以随时要求乙方配备大型冲击锤补强，或者采用强夯机夯实，发生的费用由乙方承担。</t>
  </si>
  <si>
    <t xml:space="preserve">   -f</t>
  </si>
  <si>
    <t>借石填方（软石）</t>
  </si>
  <si>
    <r>
      <rPr>
        <sz val="9.5"/>
        <color indexed="8"/>
        <rFont val="Arial Narrow"/>
        <family val="2"/>
      </rPr>
      <t xml:space="preserve">     </t>
    </r>
    <r>
      <rPr>
        <sz val="9.5"/>
        <color indexed="8"/>
        <rFont val="宋体"/>
        <family val="3"/>
        <charset val="134"/>
      </rPr>
      <t>低填浅挖处理、填挖交界处理、半填半挖处理、挖台阶处理、陡坡路堤处理、新旧路衔接等特殊路基台阶设置；取土场便道、便涵填筑及维护、施工便道及施工区洒水抑尘；借石场场地清理、清除不适用材料；</t>
    </r>
    <r>
      <rPr>
        <sz val="9.5"/>
        <color indexed="8"/>
        <rFont val="Arial Narrow"/>
        <family val="2"/>
      </rPr>
      <t xml:space="preserve"> </t>
    </r>
    <r>
      <rPr>
        <sz val="9.5"/>
        <color indexed="8"/>
        <rFont val="宋体"/>
        <family val="3"/>
        <charset val="134"/>
      </rPr>
      <t>基底翻松、压实、挖台阶；爆破、</t>
    </r>
    <r>
      <rPr>
        <sz val="9.5"/>
        <color indexed="8"/>
        <rFont val="Arial Narrow"/>
        <family val="2"/>
      </rPr>
      <t xml:space="preserve"> </t>
    </r>
    <r>
      <rPr>
        <sz val="9.5"/>
        <color indexed="8"/>
        <rFont val="宋体"/>
        <family val="3"/>
        <charset val="134"/>
      </rPr>
      <t>挖、装、运输</t>
    </r>
    <r>
      <rPr>
        <sz val="9.5"/>
        <color indexed="8"/>
        <rFont val="Arial Narrow"/>
        <family val="2"/>
      </rPr>
      <t>1km</t>
    </r>
    <r>
      <rPr>
        <sz val="9.5"/>
        <color indexed="8"/>
        <rFont val="宋体"/>
        <family val="3"/>
        <charset val="134"/>
      </rPr>
      <t>内、卸车；分层摊铺；洒水、压实、刷坡、路基补强；施工排水处理；借土场整型等所有与借土、石填方有关的工作内容。</t>
    </r>
  </si>
  <si>
    <r>
      <rPr>
        <sz val="9.5"/>
        <color indexed="8"/>
        <rFont val="宋体"/>
        <family val="3"/>
        <charset val="134"/>
      </rPr>
      <t xml:space="preserve">    依据图纸所示地面线、路基设计横断面图并经现场实际验收合格，按平均断面面积法计算压实的体积，按双方核定的设计（含变更设计）内的数量以立方米为单位计量；满足施工需要，便道、便涵填筑及维护、施工便道及施工区洒水抑尘、台阶开挖及回填、台背回填、预留路基宽度宽填的填方量及地面下沉增加的填方量、路基补强所需费用（含大型冲击锤补强，或者采用强夯机夯实发生的费用）、安全防护措施等作为路基填筑的附属工作，不另行计量；边沟、排水沟、截水沟、涵洞等排水、涵洞工程开挖土方、取土场清表、砍挖树木等费用已含在综合单价中，不另行计量。运输1km内已含在综合单价中，每超过500m运距综合单价增加费用0.70元/m3。特别说明：本标段有高填方段，必须严格按照施工规范施工，至少配备26t以上压路机，确保路基压实度符合要求，当甲方发现填方路基完工后沉降可以随时要求乙方配备大型冲击锤补强，或者采用强夯机夯实，发生的费用由乙方承担。爆破手续及安全手续的办理、爆破耗材、安全防护设施、安全人员等所需费用已含在综合单价中，不另行计量；如乙方采用非爆破方法开挖，计量按综合单价执行，不予调整。（注：爆破作业爆破作业，由甲方统一按排施工队丙方进行石方爆破作业队，由乙方与丙方签订合同进行结算，爆破费用为</t>
    </r>
    <r>
      <rPr>
        <u/>
        <sz val="9.5"/>
        <color indexed="8"/>
        <rFont val="宋体"/>
        <family val="3"/>
        <charset val="134"/>
      </rPr>
      <t xml:space="preserve">    </t>
    </r>
    <r>
      <rPr>
        <sz val="9.5"/>
        <color indexed="8"/>
        <rFont val="宋体"/>
        <family val="3"/>
        <charset val="134"/>
      </rPr>
      <t>元/m3。）</t>
    </r>
  </si>
  <si>
    <t>-e</t>
  </si>
  <si>
    <t>回填粒料（粒径不大于5cm，水稳性好的粒料）</t>
  </si>
  <si>
    <t xml:space="preserve">    依据图纸所示地面线、路基设计横断面图并经现场实际验收合格，按平均断面面积法计算压实的体积，按双方核定的设计（含变更设计）内的数量以立方米为单位计量；满足施工需要，便道、便涵填筑及维护、施工便道及施工区洒水抑尘、台阶开挖及回填、台背回填、预留路基宽度宽填的填方量及地面下沉增加的填方量、路基补强所需费用（含大型冲击锤补强，或者采用强夯机夯实发生的费用）、安全防护措施等作为路基填筑的附属工作，不另行计量；边沟、排水沟、截水沟、排水工程等开挖土方、取土场清表、砍挖树木等费用已含在综合单价中，不另行计量。</t>
  </si>
  <si>
    <t>-i</t>
  </si>
  <si>
    <t>锥坡及台前溜坡填土</t>
  </si>
  <si>
    <t xml:space="preserve">   -g</t>
  </si>
  <si>
    <t>结构物台背回填</t>
  </si>
  <si>
    <t xml:space="preserve">  -2</t>
  </si>
  <si>
    <t>回填砂砾</t>
  </si>
  <si>
    <t>含材料采购、运输；基底翻松、压实、挖台阶；临时排水；分层摊铺整形；洒水、压实（含小型夯实机夯实）；修整边坡等所有与回填有关的工作内容。</t>
  </si>
  <si>
    <t xml:space="preserve"> 依据图纸所示位置和断面尺寸并经现场实际验收合格，按图示换材料密实体积按双方核定的设计（含变更设计）内的数量以立方米为单位计量；计量时须提供现场测量、签认的映像资料。安全防护设施等费用已含在综合单价中，不另行计量。</t>
  </si>
  <si>
    <t>204-2</t>
  </si>
  <si>
    <t>围堰（含抽水挖除弃运）</t>
  </si>
  <si>
    <t>m</t>
  </si>
  <si>
    <t>含麻布袋人工装土、装载机运输、抽水、人工整理填土袋、缝隙填充、挖除清理、弃至甲方指定的弃土场等一切工作内容。</t>
  </si>
  <si>
    <t>按甲方技术交底图示尺寸并经现场验收合格的工程量计算。</t>
  </si>
  <si>
    <t>205-1</t>
  </si>
  <si>
    <t>软土地基处理</t>
  </si>
  <si>
    <t>-b</t>
  </si>
  <si>
    <t>回填砾石砂</t>
  </si>
  <si>
    <t>含便道修筑及维护、基底清理、填前压实；临时排水、混合料采购、分层铺筑、分层碾压、修整边坡等所有与换填有关的工作内容。含外购材料30元/m³混渣</t>
  </si>
  <si>
    <t>依据图纸所示位置和断面尺寸并经现场实际验收合格，按图示换填砂砾材料密实体积按双方核定的设计（含变更设计）内的数量以立方米为单位计量；计量时须提供现场测量、签认的映像资料。除砂砾材料由甲方提供外，其余所有材料、设备及便道填筑及维护、等均由乙方提供及实施，费用已含在综合单价中，不另行计量。</t>
  </si>
  <si>
    <t>-C</t>
  </si>
  <si>
    <t>回填宕渣或碎石土</t>
  </si>
  <si>
    <t>含便道修筑及维护、基底清理、填前压实；临时排水、混合料收集及采购分层铺筑、分层碾压、修整边坡等所有与换填有关的工作内容。含外购材料30元/m³混渣</t>
  </si>
  <si>
    <t>-d</t>
  </si>
  <si>
    <t>土工织物</t>
  </si>
  <si>
    <t>-1</t>
  </si>
  <si>
    <t>土工格栅</t>
  </si>
  <si>
    <t>m2</t>
  </si>
  <si>
    <r>
      <rPr>
        <sz val="9.5"/>
        <color indexed="8"/>
        <rFont val="Arial Narrow"/>
        <family val="2"/>
      </rPr>
      <t xml:space="preserve">        </t>
    </r>
    <r>
      <rPr>
        <sz val="9.5"/>
        <color indexed="8"/>
        <rFont val="宋体"/>
        <family val="3"/>
        <charset val="134"/>
      </rPr>
      <t>清理下承层；场内运输、装卸、铺设及固定；接缝处理（搭接、缝接、</t>
    </r>
    <r>
      <rPr>
        <sz val="9.5"/>
        <color indexed="8"/>
        <rFont val="Arial Narrow"/>
        <family val="2"/>
      </rPr>
      <t xml:space="preserve"> </t>
    </r>
    <r>
      <rPr>
        <sz val="9.5"/>
        <color indexed="8"/>
        <rFont val="宋体"/>
        <family val="3"/>
        <charset val="134"/>
      </rPr>
      <t>粘接）；边缘处理等所有与土工格栅有关的工作内容。</t>
    </r>
  </si>
  <si>
    <r>
      <rPr>
        <sz val="9.5"/>
        <color indexed="8"/>
        <rFont val="Arial Narrow"/>
        <family val="2"/>
      </rPr>
      <t xml:space="preserve">         </t>
    </r>
    <r>
      <rPr>
        <sz val="9.5"/>
        <color indexed="8"/>
        <rFont val="宋体"/>
        <family val="3"/>
        <charset val="134"/>
      </rPr>
      <t>依据图纸所示位置和规格、型号，按土层中分层铺设土工格栅的累计净面积并经现场实际验收合格按双方核定的设计（含变更设计）内的数量以平方米为单位计量；接缝的重叠面积和边缘的包裹面积不予计量；土工格栅由甲方提供，锚钉等其余所有材料由乙方自制提供，费用已含在综合单价中，不另行计量。计量时须提供现场测量、签认的映像资料。安全防护设施等费用已含在综合单价中，不另行计量。</t>
    </r>
  </si>
  <si>
    <t>回填开山石渣（利用石方）</t>
  </si>
  <si>
    <t>取土石场、挖方段石渣收集、运输、分层铺筑；分层碾压，修整边坡等所有与回填石渣有关的工作内容。</t>
  </si>
  <si>
    <t xml:space="preserve"> 依据图纸所示位置和断面尺寸并经现场实际验收合格，按图示换填石渣材料密实体积按双方核定的设计（含变更设计）内的数量以立方米为单位计量；计量时须提供现场测量、签认的映像资料。安全防护设施等费用已含在综合单价中，不另行计量。</t>
  </si>
  <si>
    <t>207-2</t>
  </si>
  <si>
    <t>排水沟</t>
  </si>
  <si>
    <t>60*60cmM7.5浆砌片石排水沟</t>
  </si>
  <si>
    <t>含场地清理、地基夯实、断面开挖、铺设垫层、砂浆拌制、浆砌片石、勾缝、抹面、养护 、回填等等所有与浆砌片石有关的工作内容。</t>
  </si>
  <si>
    <t>依据图纸所示位置及断面尺寸、按浆砌片石施工长度（每延米长度）并经现场实际验收合格的数量以每延米为单位进行计量。所有材料、设备（含发电机、搅拌机及施工用电设施等）及便道填筑及维护、土方开挖、安全防护设施等均由乙方提供及实施，费用已含在综合单价中，不另行计量。（砂砾垫层已经考虑在综合单价内，不另行计量）</t>
  </si>
  <si>
    <t>-a</t>
  </si>
  <si>
    <t>截水沟（含截水沟下坡汇水段及防滑平台）</t>
  </si>
  <si>
    <t>m³</t>
  </si>
  <si>
    <t>依据图纸所示位置和浆砌厚度、高度、长度乘积的体积并经现场验收合格的按双方核定的设计（含设计变更）内工程量以立方米为单位计量。所有材料、设备（含发电机、搅拌机及施工用电设施等）及便道填筑及维护、土石方开挖、安全防护设施等均由乙方提供及实施，费用已含在综合单价中，不另行计量。</t>
  </si>
  <si>
    <t>平台沟急流槽（含进出口及槽身）</t>
  </si>
  <si>
    <t xml:space="preserve">   -C</t>
  </si>
  <si>
    <t>C25砼盖板明边沟</t>
  </si>
  <si>
    <t>含场地清理、地基夯实、断面补挖、铺设垫层、砂浆拌制、浆砌片石、勾缝、抹面、现浇砼台帽 、预制砼盖板、安装盖板、回填等所有与盖板沟有关的工作内容。</t>
  </si>
  <si>
    <t>依据图纸所示位置及断面尺寸、按砼盖板施工长度（每延米长度）并经现场实际验收合格的数量以每延米为单位进行计量。所有材料、设备（含发电机、搅拌机及施工用电设施等）及便道填筑及维护、土方开挖等均由乙方提供及实施，费用已含在综合单价中，不另行计量。砂砾垫层已经考虑在综合单价内，不另行计量。</t>
  </si>
  <si>
    <t>207-5</t>
  </si>
  <si>
    <t>碎石渗沟</t>
  </si>
  <si>
    <t>含沟底开挖、修整、土工布包裹、回填碎石、覆盖、碾压、回填等所有费用</t>
  </si>
  <si>
    <t>208</t>
  </si>
  <si>
    <t>护坡、护面墙</t>
  </si>
  <si>
    <t>208-3</t>
  </si>
  <si>
    <t>浆砌片石护坡</t>
  </si>
  <si>
    <t>208-3-a</t>
  </si>
  <si>
    <t>水泥砂浆护坡垫层</t>
  </si>
  <si>
    <t>含边坡清理、排水、基底清理；分层铺筑等所有与护坡回填砂浆有关的工作内容。</t>
  </si>
  <si>
    <t>依据图纸所示位置及断面尺寸，并经现场实际验收合格按双方核定的设计（含变更设计）内的数量以立方米为单位计量；所有材料、设备及便道填筑及维护、等均由乙方提供及实施，费用已含在综合单价中，不另行计量。</t>
  </si>
  <si>
    <t>208-3-b</t>
  </si>
  <si>
    <t>含坡面精细整形、拌合砂浆、片石砌筑、勾缝、抹面、养生、剩余片石及施工垃圾清理等与之有关的一切工作内容</t>
  </si>
  <si>
    <t>依据图纸所示位置和尺寸并经现场验收合格按双方核定的设计（含变更设计）内的数量以立方米为单位计量；坡面的补土及整型均已含在综合单价中，不另行计量。</t>
  </si>
  <si>
    <t>208-2</t>
  </si>
  <si>
    <t>方格网护坡</t>
  </si>
  <si>
    <t>M7.5浆砌片石</t>
  </si>
  <si>
    <t>含清理边坡，坡面夯实，基础开挖，片石开挖、解小、运输、砂浆拌制、浆砌片石，抹面，养护，回填，清理现场、因施工造成的边坡修复等所有与浆砌片石有关的工作内容。</t>
  </si>
  <si>
    <t>依据图纸所示位置和铺砌厚度、骨架形式，按照护坡体体积并经现场验收合格的按双方核定的设计（含设计变更）内工程量以立方米为单位计量，所有材料、设备（含发电机、搅拌机及施工用电设施等）及便道填筑及维护、土石方开挖、安全防护设施等均由乙方提供及实施，费用已含在综合单价中，不另行计量。</t>
  </si>
  <si>
    <t>干砌片石</t>
  </si>
  <si>
    <t>含清理边坡，坡面夯实，基础开挖，片石开挖、解小、运输、干砌片石，抹面，养护，回填，清理现场、因施工造成的边坡修复等所有与干砌片石有关的工作内容。</t>
  </si>
  <si>
    <t>依据图纸所示位置和铺砌厚度、骨架形式，按照护坡体体积并经现场验收合格的按双方核定的设计（含设计变更）内工程量以立方米为单位计量。所有材料、设备（含发电机、搅拌机及施工用电设施等）及便道填筑及维护、土石方开挖、安全防护设施等均由乙方提供及实施，费用已含在综合单价中，不另行计量。</t>
  </si>
  <si>
    <t>209-3</t>
  </si>
  <si>
    <t>砌体挡土墙</t>
  </si>
  <si>
    <t>含清理边坡，坡面夯实，基础开挖，片石开挖、解小、运输、砂浆拌制、浆砌片石，抹面，养护，回填，清理现场、因施工造成的边坡修复等所有与浆砌片石挡墙有关的工作内容。</t>
  </si>
  <si>
    <t>419-1</t>
  </si>
  <si>
    <t>单孔钢筋砼圆管涵</t>
  </si>
  <si>
    <t>圆管涵</t>
  </si>
  <si>
    <t>a-1</t>
  </si>
  <si>
    <t>挖基础</t>
  </si>
  <si>
    <r>
      <rPr>
        <sz val="9.5"/>
        <color theme="1"/>
        <rFont val="宋体"/>
        <family val="3"/>
        <charset val="134"/>
      </rPr>
      <t xml:space="preserve">   </t>
    </r>
    <r>
      <rPr>
        <sz val="9.5"/>
        <color indexed="8"/>
        <rFont val="宋体"/>
        <family val="3"/>
        <charset val="134"/>
      </rPr>
      <t>便道修通及维护、场地清理；围堰、排水；基坑开挖（含钻爆）；基坑支护；基坑检查、修整；基坑回填、压实；边坡及底面修整、弃方清运至指定弃土场整平、安全防护等等所有与清理现场有关的工作内容。</t>
    </r>
  </si>
  <si>
    <r>
      <rPr>
        <sz val="9.5"/>
        <color theme="1"/>
        <rFont val="宋体"/>
        <family val="3"/>
        <charset val="134"/>
      </rPr>
      <t xml:space="preserve">   依据图纸所示地面线、图纸所示开挖土石比例（实际如有不符，不予调整）并经现场实际验收合格，按照天然密实体积按双方核定的设计（含变更设计）内的数量以立方米为单位计量(设计外的开挖数量及费用已含在综合单价内，不另行计算)</t>
    </r>
    <r>
      <rPr>
        <sz val="9.5"/>
        <color rgb="FF000000"/>
        <rFont val="宋体"/>
        <family val="3"/>
        <charset val="134"/>
      </rPr>
      <t>。爆破手续及安全手续的办理、爆破耗材、安全防护设施、安全人员等所需费用已含在综合单价中，不另行计量；如乙方采用非爆破方法开挖，计量按单价执行，不予调整。该单价为挖基坑综合单价，含回填土方及分层碾压费用。回填土方不予另行计量。</t>
    </r>
  </si>
  <si>
    <t>a-2</t>
  </si>
  <si>
    <t>Φ1.5m管节安装</t>
  </si>
  <si>
    <t>场地清理；圆管卸车；安装、接缝；防水、防冻、防腐措施等所有与管节安装有关的工作内容。</t>
  </si>
  <si>
    <t xml:space="preserve">    依据图纸所示位置及断面尺寸，并经现场实际验收合格按双方核定的设计（含变更设计）内的数量以米为单位计量；除圆管管节由甲方提供外，其余所有材料、设备（含吊车、挖机、油毛毡、沥青麻絮等）、安全防护设施等均由乙方提供及实施，费用（含圆管卸车费用；二次调拨、搬运）已含在综合单价中，不另行计量。</t>
  </si>
  <si>
    <t>a-3</t>
  </si>
  <si>
    <t>管基、竖井砂砾垫层</t>
  </si>
  <si>
    <t xml:space="preserve">    依据图纸所示位置及断面尺寸，并经现场实际验收合格按双方核定的设计（含变更设计）内的数量以立方米为单位计量；除砂砾由甲方提供外，所有材料、设备及便道填筑及维护、安全防护设施等均由乙方提供及实施，费用已含在综合单价中，不另行计量。</t>
  </si>
  <si>
    <t>a-4</t>
  </si>
  <si>
    <t>砂砾换填</t>
  </si>
  <si>
    <r>
      <rPr>
        <sz val="9.5"/>
        <color indexed="8"/>
        <rFont val="Times New Roman"/>
        <family val="1"/>
      </rPr>
      <t xml:space="preserve">       </t>
    </r>
    <r>
      <rPr>
        <sz val="9.5"/>
        <color indexed="8"/>
        <rFont val="宋体"/>
        <family val="3"/>
        <charset val="134"/>
      </rPr>
      <t>便道填筑及维护、挖基、基坑排水、基底清理；材料收集或采购、运输、铺筑、碾压等所有与换填有关的工作内容。</t>
    </r>
  </si>
  <si>
    <t xml:space="preserve">    依据图纸所示位置及断面尺寸，并经现场实际验收合格按双方核定的设计（含变更设计）内的数量以立方米为单位计量；所有材料、设备及便道填筑及维护、安全防护设施等均由乙方提供及实施，费用已含在综合单价中，不另行计量。</t>
  </si>
  <si>
    <t>a-5</t>
  </si>
  <si>
    <r>
      <rPr>
        <sz val="10"/>
        <color rgb="FF000000"/>
        <rFont val="Arial Narrow"/>
        <family val="2"/>
      </rPr>
      <t>C25</t>
    </r>
    <r>
      <rPr>
        <sz val="10"/>
        <color rgb="FF000000"/>
        <rFont val="宋体"/>
        <family val="3"/>
        <charset val="134"/>
      </rPr>
      <t>砼管基、端墙基础</t>
    </r>
  </si>
  <si>
    <t xml:space="preserve">   场地清理；围堰、排水，基坑支护；基础模板制作、安装、拆除；混凝土浇筑、养护；施工缝、沉降缝设置、处理等所有与砼基础有关的工作内容。</t>
  </si>
  <si>
    <t xml:space="preserve">    依据图纸所示位置及断面尺寸，并经现场实际验收合格按双方核定的设计（含变更设计）内的数量以立方米为单位计量；除砼由甲方提供外，其余所有材料、设备（含吊车、挖机、天泵、地泵、发电机及施工用电设施等）、安全防护等均由乙方提供及实施，费用已含在综合单价中，不另行计量。</t>
  </si>
  <si>
    <t>a-6</t>
  </si>
  <si>
    <r>
      <rPr>
        <sz val="10"/>
        <color rgb="FF000000"/>
        <rFont val="Arial Narrow"/>
        <family val="2"/>
      </rPr>
      <t>C30</t>
    </r>
    <r>
      <rPr>
        <sz val="10"/>
        <color rgb="FF000000"/>
        <rFont val="宋体"/>
        <family val="3"/>
        <charset val="134"/>
      </rPr>
      <t>墙身砼</t>
    </r>
  </si>
  <si>
    <t xml:space="preserve">   场地清理；排水；墙身模板制作、安装、拆除；混凝土浇筑、养护；施工缝、沉降缝设置、处理等所有与端墙墙身有关的工作内容。</t>
  </si>
  <si>
    <t xml:space="preserve">    依据图纸所示位置及断面尺寸，并经现场实际验收合格按双方核定的设计（含变更设计）内的数量以立方米为单位计量；除砼由甲方提供外，其余所有材料（含沥青麻絮等）、设备（含吊车、挖机、天泵、地泵、发电机及施工用电设施等）、安全防护等均由乙方提供及实施，费用已含在综合单价中，不另行计量。</t>
  </si>
  <si>
    <t>a-7</t>
  </si>
  <si>
    <r>
      <rPr>
        <sz val="10"/>
        <color rgb="FF000000"/>
        <rFont val="Arial Narrow"/>
        <family val="2"/>
      </rPr>
      <t>C25</t>
    </r>
    <r>
      <rPr>
        <sz val="10"/>
        <color rgb="FF000000"/>
        <rFont val="宋体"/>
        <family val="3"/>
        <charset val="134"/>
      </rPr>
      <t>片石砼</t>
    </r>
  </si>
  <si>
    <t xml:space="preserve">  场地清理；排水；模板制作、安装、拆除；混凝土浇筑、养护；施工缝、沉降缝设置、处理等所有与砼管基有关的工作内容。</t>
  </si>
  <si>
    <t xml:space="preserve">    依据图纸所示位置及断面尺寸，并经现场实际验收合格按双方核定的设计（含变更设计）内的数量以立方米为单位计量；除砼由甲方提供外，其余所有材料（含片石30%等）、设备（含吊车、挖机、天泵、地泵、发电机及施工用电设施等）等均由乙方提供及实施，费用已含在综合单价中，不另行计量。</t>
  </si>
  <si>
    <t>a-8</t>
  </si>
  <si>
    <t>钢筋</t>
  </si>
  <si>
    <t>kg</t>
  </si>
  <si>
    <t xml:space="preserve">    场地清理、场地硬化；钢筋的保护、储存及除锈；钢筋整直、接头；钢筋截断、弯曲、焊接；钢筋安设、支承及固定等所有与钢筋有关的工作内容。</t>
  </si>
  <si>
    <t xml:space="preserve">    依据图纸所示及钢筋表所列钢筋质量并经现场实际验收合格按双方核定的设计（含变更设计）内的数量以千克为单位计量；除钢筋材料由甲方提供外，其余所有材料（含固定钢筋的材料、定位架立钢筋、钢筋接头、吊装钢筋、钢板、铁丝等作为钢筋作业的附属工作）、设备（含吊车、挖机、发电机及施工用电设施等）、安全防护等均由乙方提供及实施，费用已含在综合单价中，不另行计量。（注：钢筋损耗按设计图纸数量加1.5%损耗控制，如超过控制数量，超过部份按市价在乙方工程款中扣除。）</t>
  </si>
  <si>
    <t>a-9</t>
  </si>
  <si>
    <r>
      <rPr>
        <sz val="10"/>
        <color rgb="FF000000"/>
        <rFont val="Arial Narrow"/>
        <family val="2"/>
      </rPr>
      <t>C25</t>
    </r>
    <r>
      <rPr>
        <sz val="10"/>
        <color rgb="FF000000"/>
        <rFont val="宋体"/>
        <family val="3"/>
        <charset val="134"/>
      </rPr>
      <t>砼帽石</t>
    </r>
  </si>
  <si>
    <t xml:space="preserve">   场地清理；帽石模板制作、安装、拆除；混凝土浇筑、养护；施工缝设置、处理等所有与砼帽石有关的工作内容。</t>
  </si>
  <si>
    <t>420-1-1</t>
  </si>
  <si>
    <t>钢筋砼盖板涵、箱涵</t>
  </si>
  <si>
    <t>开挖基坑土石方</t>
  </si>
  <si>
    <r>
      <rPr>
        <sz val="9.5"/>
        <color rgb="FF000000"/>
        <rFont val="Times New Roman"/>
        <family val="1"/>
      </rPr>
      <t xml:space="preserve">       </t>
    </r>
    <r>
      <rPr>
        <sz val="9.5"/>
        <color rgb="FF000000"/>
        <rFont val="宋体"/>
        <family val="3"/>
        <charset val="134"/>
      </rPr>
      <t>便道填筑及维护、挖基、基坑排水、基底清理；材料采购、运输、铺筑、碾压等所有与换填有关的工作内容。</t>
    </r>
  </si>
  <si>
    <r>
      <rPr>
        <sz val="10"/>
        <color rgb="FF000000"/>
        <rFont val="Arial Narrow"/>
        <family val="2"/>
      </rPr>
      <t>C25</t>
    </r>
    <r>
      <rPr>
        <sz val="10"/>
        <color rgb="FF000000"/>
        <rFont val="宋体"/>
        <family val="3"/>
        <charset val="134"/>
      </rPr>
      <t>砼基础</t>
    </r>
  </si>
  <si>
    <r>
      <rPr>
        <sz val="10"/>
        <color rgb="FF000000"/>
        <rFont val="Arial Narrow"/>
        <family val="2"/>
      </rPr>
      <t>C40</t>
    </r>
    <r>
      <rPr>
        <sz val="10"/>
        <color rgb="FF000000"/>
        <rFont val="宋体"/>
        <family val="3"/>
        <charset val="134"/>
      </rPr>
      <t>墙身及盖板砼</t>
    </r>
  </si>
  <si>
    <t>425-1</t>
  </si>
  <si>
    <t>雨污水管道</t>
  </si>
  <si>
    <t>雨污水管</t>
  </si>
  <si>
    <r>
      <rPr>
        <sz val="9.5"/>
        <color theme="1"/>
        <rFont val="宋体"/>
        <family val="3"/>
        <charset val="134"/>
      </rPr>
      <t xml:space="preserve">   </t>
    </r>
    <r>
      <rPr>
        <sz val="9.5"/>
        <color rgb="FF000000"/>
        <rFont val="宋体"/>
        <family val="3"/>
        <charset val="134"/>
      </rPr>
      <t>便道修通及维护、场地清理；围堰、排水；基坑开挖（含钻爆）；基坑支护；基坑检查、修整；基坑回填、压实；边坡及底面修整、弃方清运至指定弃土场整平、安全防护等等所有与清理现场有关的工作内容。（综合的单价含回填管道、集水井回填单价）</t>
    </r>
  </si>
  <si>
    <r>
      <rPr>
        <sz val="9.5"/>
        <color theme="1"/>
        <rFont val="宋体"/>
        <family val="3"/>
        <charset val="134"/>
      </rPr>
      <t xml:space="preserve">   依据图纸所示地面线、图纸所示开挖土石比例（实际如有不符，不予调整）并经现场实际验收合格，按照天然密实体积按双方核定的设计（含变更设计）内的数量以立方米为单位计量(设计外的开挖数量及费用已含在综合单价内，不另行计算)</t>
    </r>
    <r>
      <rPr>
        <sz val="9.5"/>
        <color rgb="FF000000"/>
        <rFont val="宋体"/>
        <family val="3"/>
        <charset val="134"/>
      </rPr>
      <t>。爆破手续及安全手续的办理、爆破耗材、安全防护设施、安全人员等所需费用已含在综合单价中，不另行计量；如乙方采用非爆破方法开挖，计量按单价执行，不予调整。。该单价为挖基坑综合单价，含回填土方及分层碾压费用。回填土方不予另行计量。</t>
    </r>
  </si>
  <si>
    <r>
      <rPr>
        <sz val="10"/>
        <color rgb="FF000000"/>
        <rFont val="Arial Narrow"/>
        <family val="2"/>
      </rPr>
      <t>Φ1.0m</t>
    </r>
    <r>
      <rPr>
        <sz val="10"/>
        <color rgb="FF000000"/>
        <rFont val="宋体"/>
        <family val="3"/>
        <charset val="134"/>
      </rPr>
      <t>市政二级管道安装</t>
    </r>
  </si>
  <si>
    <r>
      <rPr>
        <sz val="10"/>
        <color rgb="FF000000"/>
        <rFont val="Arial Narrow"/>
        <family val="2"/>
      </rPr>
      <t>Φ0.8m</t>
    </r>
    <r>
      <rPr>
        <sz val="10"/>
        <color rgb="FF000000"/>
        <rFont val="宋体"/>
        <family val="3"/>
        <charset val="134"/>
      </rPr>
      <t>市政二级管道安装</t>
    </r>
  </si>
  <si>
    <r>
      <rPr>
        <sz val="10"/>
        <color rgb="FF000000"/>
        <rFont val="Arial Narrow"/>
        <family val="2"/>
      </rPr>
      <t>DN60cmHDPE</t>
    </r>
    <r>
      <rPr>
        <sz val="10"/>
        <color rgb="FF000000"/>
        <rFont val="宋体"/>
        <family val="3"/>
        <charset val="134"/>
      </rPr>
      <t>管节安装</t>
    </r>
  </si>
  <si>
    <t>场地清理；HDPE管材采购、卸车、保管、安装、接缝；防水、试压等所有与管节安装有关的工作内容。</t>
  </si>
  <si>
    <t xml:space="preserve">    依据图纸所示位置及断面尺寸，并经现场实际验收合格按双方核定的设计（含变更设计）内的数量以米为单位计量；所有关于HDPE管道材料（管材、接头、橡皮圈、胶水等）、设备、安全防护设施等均由乙方提供及实施，费用已含在综合单价中，不另行计量。</t>
  </si>
  <si>
    <r>
      <rPr>
        <sz val="10"/>
        <color rgb="FF000000"/>
        <rFont val="Arial Narrow"/>
        <family val="2"/>
      </rPr>
      <t>DN40cmHDPE</t>
    </r>
    <r>
      <rPr>
        <sz val="10"/>
        <color rgb="FF000000"/>
        <rFont val="宋体"/>
        <family val="3"/>
        <charset val="134"/>
      </rPr>
      <t>管节安装</t>
    </r>
  </si>
  <si>
    <r>
      <rPr>
        <sz val="10"/>
        <color rgb="FF000000"/>
        <rFont val="Arial Narrow"/>
        <family val="2"/>
      </rPr>
      <t>DN50cm</t>
    </r>
    <r>
      <rPr>
        <sz val="10"/>
        <color rgb="FF000000"/>
        <rFont val="宋体"/>
        <family val="3"/>
        <charset val="134"/>
      </rPr>
      <t>HDPE管节安装</t>
    </r>
  </si>
  <si>
    <r>
      <rPr>
        <sz val="10"/>
        <color rgb="FF000000"/>
        <rFont val="Arial Narrow"/>
        <family val="2"/>
      </rPr>
      <t>DN30cmHDPE</t>
    </r>
    <r>
      <rPr>
        <sz val="10"/>
        <color rgb="FF000000"/>
        <rFont val="宋体"/>
        <family val="3"/>
        <charset val="134"/>
      </rPr>
      <t>管节安装</t>
    </r>
  </si>
  <si>
    <t>管基、竖井回填中粗砂</t>
  </si>
  <si>
    <r>
      <rPr>
        <sz val="9.5"/>
        <color rgb="FF000000"/>
        <rFont val="Times New Roman"/>
        <family val="1"/>
      </rPr>
      <t xml:space="preserve">       </t>
    </r>
    <r>
      <rPr>
        <sz val="9.5"/>
        <color rgb="FF000000"/>
        <rFont val="宋体"/>
        <family val="3"/>
        <charset val="134"/>
      </rPr>
      <t>便道填筑及维护、挖基、基坑排水、基底清理；材料采购、运输、铺筑、碾压等所有与垫层有关的工作内容。</t>
    </r>
  </si>
  <si>
    <t xml:space="preserve">    依据图纸所示位置及断面尺寸，并经现场实际验收合格按双方核定的设计（含变更设计）内的数量以立方米为单位计量；所有材料、设备及便道填筑及维护、安全防护设施等均由乙方提供及实施，费用已含在综合单价中，不另行计量。（含砂砾采购）</t>
  </si>
  <si>
    <t>Φ1000检查井</t>
  </si>
  <si>
    <t>座</t>
  </si>
  <si>
    <t>b-1</t>
  </si>
  <si>
    <t>C25砼基础、及垫层</t>
  </si>
  <si>
    <t>b-2</t>
  </si>
  <si>
    <r>
      <rPr>
        <sz val="10"/>
        <color rgb="FF000000"/>
        <rFont val="Arial Narrow"/>
        <family val="2"/>
      </rPr>
      <t>C30</t>
    </r>
    <r>
      <rPr>
        <sz val="10"/>
        <color rgb="FF000000"/>
        <rFont val="宋体"/>
        <family val="3"/>
        <charset val="134"/>
      </rPr>
      <t>井壁砼、盖板砼</t>
    </r>
  </si>
  <si>
    <t xml:space="preserve">   场地清理；排水；墙身、盖板模板制作、安装、拆除；混凝土浇筑、养护；施工缝、沉降缝设置、处理等所有与端墙墙身有关的工作内容。</t>
  </si>
  <si>
    <t>b-3</t>
  </si>
  <si>
    <t>预制井筒及井盖安装</t>
  </si>
  <si>
    <t>处</t>
  </si>
  <si>
    <t>场地清理；井筒、井盖卸车；安装、接缝；防水措施等所有与管节安装有关的工作内容。</t>
  </si>
  <si>
    <t xml:space="preserve">    依据图纸所示位置及断面尺寸，并经现场实际验收合格按双方核定的设计（含变更设计）内的数量以处为单位计量；除井筒、井盖由甲方提供外，其余所有材料、设备（含吊车、挖机、油毛毡、沥青麻絮等）、安全防护设施等均由乙方提供及实施，费用（含井筒、井盖卸车费用；二次调拨、搬运）已含在综合单价中，不另行计量。</t>
  </si>
  <si>
    <t>b-4</t>
  </si>
  <si>
    <t>钢筋制作安装</t>
  </si>
  <si>
    <t>Φ1250检查井</t>
  </si>
  <si>
    <t>c-1</t>
  </si>
  <si>
    <t>c-2</t>
  </si>
  <si>
    <t>c-3</t>
  </si>
  <si>
    <t>c-4</t>
  </si>
  <si>
    <t>Φ1500检查井</t>
  </si>
  <si>
    <t>d-1</t>
  </si>
  <si>
    <t>d-2</t>
  </si>
  <si>
    <t>d-3</t>
  </si>
  <si>
    <t>d-4</t>
  </si>
  <si>
    <t>方形检查井</t>
  </si>
  <si>
    <t>f-1</t>
  </si>
  <si>
    <t>f-2</t>
  </si>
  <si>
    <t>f-3</t>
  </si>
  <si>
    <t>f-4</t>
  </si>
  <si>
    <t>e</t>
  </si>
  <si>
    <t>砖砌雨水箅</t>
  </si>
  <si>
    <t>个</t>
  </si>
  <si>
    <t>e-1</t>
  </si>
  <si>
    <t>双70cm雨水篦</t>
  </si>
  <si>
    <t xml:space="preserve">    场地清理、基础开挖、浇筑砼基础、砌墙、粉刷抹面、养护、回填基础、安装基座、雨水篦固定等所有与雨水井有关的工作内容。</t>
  </si>
  <si>
    <t>依据图纸所示位置和浇筑砼厚度、砖砌厚高度、采用形式按照设计交底并经现场验收合格的按双方核定的设计（含设计变更）内工程量以座为单位计量。除井盖和支座由甲方供应外，其他所有材料、设备（含发电机、搅拌机及施工用电设施等）及便道填筑及维护、土石方开挖、安全防护设施等均由乙方提供及实施，费用已含在综合单价中，不另行计量。</t>
  </si>
  <si>
    <t>e-2</t>
  </si>
  <si>
    <t>单100cm雨水篦</t>
  </si>
  <si>
    <t>备注：本次招标项目要求施工队必须配备足够的现场技术人员（其中：至少配备1名专业测量技术人员,及至少配备GPS和水准测量仪器各1台）；各施工队机械配备必须要求使用26t以上的压路机、洒水车,机械数量必须满足甲方施工要求；如甲方赶工期要求增加设备，乙方必须无条件增加，增加费用已包含在劳务分包工程量清单综合单价中；乙方在施工过程中必须满足当地的水保、环保要求，配备相应的环保设施；各施工队在中标进场前必须提供对劳务及工作人员进行投保，投保险种：无记名，人身意外伤害险，保险额伤亡险不低60万元，伤害险不低于10万元。机动车辆要求必须投保强制性保险和第三责任险（100万元以上）。</t>
  </si>
  <si>
    <t xml:space="preserve">      上述因素所产生的费用包含在综合单价内。</t>
  </si>
  <si>
    <t xml:space="preserve">      1、以上综合单价均包含税金（乙方须向甲方提供正式的“增值税专用发票”、发票税目为“工程服务”，发票税率为“9%”，开具税票所需缴纳的一切税费由乙方自行承担).</t>
  </si>
  <si>
    <t xml:space="preserve">      2、上述项目单价已充分考虑本项目的施工特点（如机械使用低、二次装运、可能会出现的窝工和误工等费用），因此在项目实施中不考虑任何原因的费用和工期索赔。</t>
  </si>
  <si>
    <t xml:space="preserve">      3、乙方在施工过程中应充分了解当地水系，负责及时满足当地村民灌溉、排水排洪所需。</t>
  </si>
  <si>
    <t xml:space="preserve">      4、土石方结算按路基设计图纸计算，土石比不予调整。</t>
  </si>
  <si>
    <t xml:space="preserve"> 上饶野生动物乐园主干道道路工程路基工程量清单（LJFB-2标MK2+380.418~MK5+659.765）</t>
  </si>
  <si>
    <r>
      <rPr>
        <sz val="10"/>
        <color indexed="8"/>
        <rFont val="Arial Narrow"/>
        <family val="2"/>
      </rPr>
      <t xml:space="preserve">     </t>
    </r>
    <r>
      <rPr>
        <sz val="10"/>
        <color indexed="8"/>
        <rFont val="宋体"/>
        <family val="3"/>
        <charset val="134"/>
      </rPr>
      <t>低填浅挖处理、填挖交界处理、半填半挖处理、挖台阶处理、陡坡路堤处理、新旧路衔接等特殊路基台阶设置；取土场便道、便涵填筑及维护、施工便道及施工区洒水抑尘；借土、石场场地清理、清除不适用材料；</t>
    </r>
    <r>
      <rPr>
        <sz val="10"/>
        <color indexed="8"/>
        <rFont val="Arial Narrow"/>
        <family val="2"/>
      </rPr>
      <t xml:space="preserve"> </t>
    </r>
    <r>
      <rPr>
        <sz val="10"/>
        <color indexed="8"/>
        <rFont val="宋体"/>
        <family val="3"/>
        <charset val="134"/>
      </rPr>
      <t>基底翻松、压实、挖台阶；</t>
    </r>
    <r>
      <rPr>
        <sz val="10"/>
        <color indexed="8"/>
        <rFont val="Arial Narrow"/>
        <family val="2"/>
      </rPr>
      <t xml:space="preserve"> </t>
    </r>
    <r>
      <rPr>
        <sz val="10"/>
        <color indexed="8"/>
        <rFont val="宋体"/>
        <family val="3"/>
        <charset val="134"/>
      </rPr>
      <t>挖、装、运输</t>
    </r>
    <r>
      <rPr>
        <sz val="10"/>
        <color indexed="8"/>
        <rFont val="Arial Narrow"/>
        <family val="2"/>
      </rPr>
      <t>1km</t>
    </r>
    <r>
      <rPr>
        <sz val="10"/>
        <color indexed="8"/>
        <rFont val="宋体"/>
        <family val="3"/>
        <charset val="134"/>
      </rPr>
      <t>内、卸车；分层摊铺；洒水、压实、刷坡、路基补强；施工排水处理；借土场整型等所有与借土填方有关的工作内容。</t>
    </r>
  </si>
  <si>
    <r>
      <rPr>
        <sz val="10"/>
        <rFont val="Arial Narrow"/>
        <family val="2"/>
      </rPr>
      <t xml:space="preserve">      </t>
    </r>
    <r>
      <rPr>
        <sz val="10"/>
        <rFont val="宋体"/>
        <family val="3"/>
        <charset val="134"/>
      </rPr>
      <t>低填浅挖、半填半挖、填挖交界、陡坡地段、新旧路衔接等特殊路基台阶设置；便道、便涵填筑及维护、施工便道及施工区洒水抑尘；石方爆破、清理工作面（含解小至符合填筑要求）；挖、装、运输、卸车；填料分理、弃土整型、压实；</t>
    </r>
    <r>
      <rPr>
        <sz val="10"/>
        <rFont val="Arial Narrow"/>
        <family val="2"/>
      </rPr>
      <t>.</t>
    </r>
    <r>
      <rPr>
        <sz val="10"/>
        <rFont val="宋体"/>
        <family val="3"/>
        <charset val="134"/>
      </rPr>
      <t>施工排水处理；边坡整修、路床顶面凿平或石渣填平压实、路床清理等、交工所有与挖石方有关的工作内容。</t>
    </r>
  </si>
  <si>
    <r>
      <rPr>
        <sz val="10"/>
        <color rgb="FF000000"/>
        <rFont val="Arial Narrow"/>
        <family val="2"/>
      </rPr>
      <t xml:space="preserve">        </t>
    </r>
    <r>
      <rPr>
        <sz val="10"/>
        <color rgb="FF000000"/>
        <rFont val="宋体"/>
        <family val="3"/>
        <charset val="134"/>
      </rPr>
      <t>依据图纸所示地面线、路基设计横断面图、图纸所示路基土石比例（实际如有不符，不予调整）并经现场实际验收合格，采用平均断面面积法计算，按照天然密实体积按双方核定的设计（含变更设计）内的数量以立方米为单位计量；便道便涵填筑及维护、施工便道及施工区洒水抑尘、</t>
    </r>
    <r>
      <rPr>
        <sz val="10"/>
        <color rgb="FF000000"/>
        <rFont val="Arial Narrow"/>
        <family val="2"/>
      </rPr>
      <t xml:space="preserve"> </t>
    </r>
    <r>
      <rPr>
        <sz val="10"/>
        <color rgb="FF000000"/>
        <rFont val="宋体"/>
        <family val="3"/>
        <charset val="134"/>
      </rPr>
      <t xml:space="preserve">台阶开挖、边沟、排水沟、截水沟、临时排水工程等开挖石方费用已含在综合单价中，不另行计量；爆破手续及安全手续的办理、爆破耗材、安全防护设施、安全人员等所需费用已含在综合单价中，不另行计量；如乙方采用非爆破方法开挖，计量按综合单价执行，不予调整。
</t>
    </r>
  </si>
  <si>
    <r>
      <rPr>
        <sz val="10"/>
        <color rgb="FF000000"/>
        <rFont val="Arial Narrow"/>
        <family val="2"/>
      </rPr>
      <t xml:space="preserve">              </t>
    </r>
    <r>
      <rPr>
        <sz val="10"/>
        <color rgb="FF000000"/>
        <rFont val="宋体"/>
        <family val="3"/>
        <charset val="134"/>
      </rPr>
      <t>依据图纸所示地面线、路基设计横断面图、图纸所示路基土石比例（实际如有不符，不予调整）并经现场实际验收合格，采用平均断面面积法计算，按照天然密实体积按双方核定的设计（含变更设计）内的数量以立方米为单位计量；便道便涵填筑及维护、施工便道及施工区洒水抑尘、</t>
    </r>
    <r>
      <rPr>
        <sz val="10"/>
        <color rgb="FF000000"/>
        <rFont val="Arial Narrow"/>
        <family val="2"/>
      </rPr>
      <t xml:space="preserve"> </t>
    </r>
    <r>
      <rPr>
        <sz val="10"/>
        <color rgb="FF000000"/>
        <rFont val="宋体"/>
        <family val="3"/>
        <charset val="134"/>
      </rPr>
      <t>台阶开挖、边沟、排水沟、截水沟、开挖石方等费用已含在综合单价中，不另行计量；爆破手续及安全手续的办理、爆破耗材、安全防护设施、安全人员等所需费用已含在综合单价中，不另行计量；如乙方采用非爆破方法开挖，计量按综合单价执行，不予调整。（注：爆破作业爆破作业，由甲方统一按排施工队丙方进行石方爆破作业队，由乙方与丙方签订合同进行结算，爆破费用为</t>
    </r>
    <r>
      <rPr>
        <u/>
        <sz val="10"/>
        <color rgb="FF000000"/>
        <rFont val="宋体"/>
        <family val="3"/>
        <charset val="134"/>
      </rPr>
      <t xml:space="preserve">    </t>
    </r>
    <r>
      <rPr>
        <sz val="10"/>
        <color rgb="FF000000"/>
        <rFont val="宋体"/>
        <family val="3"/>
        <charset val="134"/>
      </rPr>
      <t>元</t>
    </r>
    <r>
      <rPr>
        <sz val="10"/>
        <color rgb="FF000000"/>
        <rFont val="Arial Narrow"/>
        <family val="2"/>
      </rPr>
      <t>/m3</t>
    </r>
    <r>
      <rPr>
        <sz val="10"/>
        <color rgb="FF000000"/>
        <rFont val="宋体"/>
        <family val="3"/>
        <charset val="134"/>
      </rPr>
      <t xml:space="preserve">。）
</t>
    </r>
  </si>
  <si>
    <t>填浅挖、半填半挖、陡坡地段、填挖交界、新旧路衔接等特殊路基台阶设置；便道、便涵填筑及维护、施工便道及施工区洒水抑尘；基底翻松、压实、挖台阶；.临时排水、 翻晒；机械整平、分层摊铺；洒水、压实（含小型机具夯实）、刷坡、路基补强；修整边坡、路床整型、路床交验等所有与填方有关的工作内容。</t>
  </si>
  <si>
    <r>
      <rPr>
        <sz val="10"/>
        <color rgb="FF000000"/>
        <rFont val="Times New Roman"/>
        <family val="1"/>
      </rPr>
      <t xml:space="preserve">       </t>
    </r>
    <r>
      <rPr>
        <sz val="10"/>
        <color indexed="8"/>
        <rFont val="宋体"/>
        <family val="3"/>
        <charset val="134"/>
      </rPr>
      <t>低填浅挖、半填半挖、陡坡地段、填挖交界、新旧路衔接等特殊路基台阶设置；便道、便涵填筑及维护、施工便道及施工区洒水抑尘；基底翻松、压实，挖台阶；临时排水、</t>
    </r>
    <r>
      <rPr>
        <sz val="10"/>
        <color indexed="8"/>
        <rFont val="Times New Roman"/>
        <family val="1"/>
      </rPr>
      <t xml:space="preserve"> </t>
    </r>
    <r>
      <rPr>
        <sz val="10"/>
        <color indexed="8"/>
        <rFont val="宋体"/>
        <family val="3"/>
        <charset val="134"/>
      </rPr>
      <t>翻晒；边坡码砌；机械整平、分层摊铺；小石块（或石屑）填缝、找补；洒水、压实（含小型机具夯实）、路基补强；修整边坡、路床整型、路床交验等所有与填方有关的工作内容。</t>
    </r>
  </si>
  <si>
    <r>
      <rPr>
        <sz val="10"/>
        <color indexed="8"/>
        <rFont val="Arial Narrow"/>
        <family val="2"/>
      </rPr>
      <t xml:space="preserve">     </t>
    </r>
    <r>
      <rPr>
        <sz val="10"/>
        <color indexed="8"/>
        <rFont val="宋体"/>
        <family val="3"/>
        <charset val="134"/>
      </rPr>
      <t>低填浅挖处理、填挖交界处理、半填半挖处理、挖台阶处理、陡坡路堤处理、新旧路衔接等特殊路基台阶设置；取土场便道、便涵填筑及维护、施工便道及施工区洒水抑尘；借石场场地清理、清除不适用材料；</t>
    </r>
    <r>
      <rPr>
        <sz val="10"/>
        <color indexed="8"/>
        <rFont val="Arial Narrow"/>
        <family val="2"/>
      </rPr>
      <t xml:space="preserve"> </t>
    </r>
    <r>
      <rPr>
        <sz val="10"/>
        <color indexed="8"/>
        <rFont val="宋体"/>
        <family val="3"/>
        <charset val="134"/>
      </rPr>
      <t>基底翻松、压实、挖台阶；爆破、</t>
    </r>
    <r>
      <rPr>
        <sz val="10"/>
        <color indexed="8"/>
        <rFont val="Arial Narrow"/>
        <family val="2"/>
      </rPr>
      <t xml:space="preserve"> </t>
    </r>
    <r>
      <rPr>
        <sz val="10"/>
        <color indexed="8"/>
        <rFont val="宋体"/>
        <family val="3"/>
        <charset val="134"/>
      </rPr>
      <t>挖、装、运输</t>
    </r>
    <r>
      <rPr>
        <sz val="10"/>
        <color indexed="8"/>
        <rFont val="Arial Narrow"/>
        <family val="2"/>
      </rPr>
      <t>1km</t>
    </r>
    <r>
      <rPr>
        <sz val="10"/>
        <color indexed="8"/>
        <rFont val="宋体"/>
        <family val="3"/>
        <charset val="134"/>
      </rPr>
      <t>内、卸车；分层摊铺；洒水、压实、刷坡、路基补强；施工排水处理；借土场整型等所有与借土、石填方有关的工作内容。</t>
    </r>
  </si>
  <si>
    <r>
      <rPr>
        <sz val="10"/>
        <color indexed="8"/>
        <rFont val="宋体"/>
        <family val="3"/>
        <charset val="134"/>
      </rPr>
      <t xml:space="preserve">    依据图纸所示地面线、路基设计横断面图并经现场实际验收合格，按平均断面面积法计算压实的体积，按双方核定的设计（含变更设计）内的数量以立方米为单位计量；满足施工需要，便道、便涵填筑及维护、施工便道及施工区洒水抑尘、台阶开挖及回填、台背回填、预留路基宽度宽填的填方量及地面下沉增加的填方量、路基补强所需费用（含大型冲击锤补强，或者采用强夯机夯实发生的费用）、安全防护措施等作为路基填筑的附属工作，不另行计量；边沟、排水沟、截水沟、涵洞等排水、涵洞工程开挖土方、取土场清表、砍挖树木等费用已含在综合单价中，不另行计量。运输1km内已含在综合单价中，每超过500m运距综合单价增加费用0.70元/m3。特别说明：本标段有高填方段，必须严格按照施工规范施工，至少配备26t以上压路机，确保路基压实度符合要求，当甲方发现填方路基完工后沉降可以随时要求乙方配备大型冲击锤补强，或者采用强夯机夯实，发生的费用由乙方承担。爆破手续及安全手续的办理、爆破耗材、安全防护设施、安全人员等所需费用已含在综合单价中，不另行计量；如乙方采用非爆破方法开挖，计量按综合单价执行，不予调整。（注：爆破作业爆破作业，由甲方统一按排施工队丙方进行石方爆破作业队，由乙方与丙方签订合同进行结算，爆破费用为</t>
    </r>
    <r>
      <rPr>
        <u/>
        <sz val="10"/>
        <color indexed="8"/>
        <rFont val="宋体"/>
        <family val="3"/>
        <charset val="134"/>
      </rPr>
      <t xml:space="preserve">    </t>
    </r>
    <r>
      <rPr>
        <sz val="10"/>
        <color indexed="8"/>
        <rFont val="宋体"/>
        <family val="3"/>
        <charset val="134"/>
      </rPr>
      <t>元/m3。）</t>
    </r>
  </si>
  <si>
    <r>
      <rPr>
        <sz val="10"/>
        <color indexed="8"/>
        <rFont val="Arial Narrow"/>
        <family val="2"/>
      </rPr>
      <t xml:space="preserve">        </t>
    </r>
    <r>
      <rPr>
        <sz val="10"/>
        <color indexed="8"/>
        <rFont val="宋体"/>
        <family val="3"/>
        <charset val="134"/>
      </rPr>
      <t>清理下承层；场内运输、装卸、铺设及固定；接缝处理（搭接、缝接、</t>
    </r>
    <r>
      <rPr>
        <sz val="10"/>
        <color indexed="8"/>
        <rFont val="Arial Narrow"/>
        <family val="2"/>
      </rPr>
      <t xml:space="preserve"> </t>
    </r>
    <r>
      <rPr>
        <sz val="10"/>
        <color indexed="8"/>
        <rFont val="宋体"/>
        <family val="3"/>
        <charset val="134"/>
      </rPr>
      <t>粘接）；边缘处理等所有与土工格栅有关的工作内容。</t>
    </r>
  </si>
  <si>
    <r>
      <rPr>
        <sz val="10"/>
        <color indexed="8"/>
        <rFont val="Arial Narrow"/>
        <family val="2"/>
      </rPr>
      <t xml:space="preserve">         </t>
    </r>
    <r>
      <rPr>
        <sz val="10"/>
        <color indexed="8"/>
        <rFont val="宋体"/>
        <family val="3"/>
        <charset val="134"/>
      </rPr>
      <t>依据图纸所示位置和规格、型号，按土层中分层铺设土工格栅的累计净面积并经现场实际验收合格按双方核定的设计（含变更设计）内的数量以平方米为单位计量；接缝的重叠面积和边缘的包裹面积不予计量；土工格栅由甲方提供，锚钉等其余所有材料由乙方自制提供，费用已含在综合单价中，不另行计量。计量时须提供现场测量、签认的映像资料。安全防护设施等费用已含在综合单价中，不另行计量。</t>
    </r>
  </si>
  <si>
    <r>
      <rPr>
        <sz val="10"/>
        <color theme="1"/>
        <rFont val="宋体"/>
        <family val="3"/>
        <charset val="134"/>
      </rPr>
      <t xml:space="preserve">   </t>
    </r>
    <r>
      <rPr>
        <sz val="10"/>
        <color indexed="8"/>
        <rFont val="宋体"/>
        <family val="3"/>
        <charset val="134"/>
      </rPr>
      <t>便道修通及维护、场地清理；围堰、排水；基坑开挖（含钻爆）；基坑支护；基坑检查、修整；基坑回填、压实；边坡及底面修整、弃方清运至指定弃土场整平、安全防护等等所有与清理现场有关的工作内容。</t>
    </r>
  </si>
  <si>
    <r>
      <rPr>
        <sz val="10"/>
        <color theme="1"/>
        <rFont val="宋体"/>
        <family val="3"/>
        <charset val="134"/>
      </rPr>
      <t xml:space="preserve">   依据图纸所示地面线、图纸所示开挖土石比例（实际如有不符，不予调整）并经现场实际验收合格，按照天然密实体积按双方核定的设计（含变更设计）内的数量以立方米为单位计量(设计外的开挖数量及费用已含在综合单价内，不另行计算)</t>
    </r>
    <r>
      <rPr>
        <sz val="10"/>
        <color rgb="FF000000"/>
        <rFont val="宋体"/>
        <family val="3"/>
        <charset val="134"/>
      </rPr>
      <t>。爆破手续及安全手续的办理、爆破耗材、安全防护设施、安全人员等所需费用已含在综合单价中，不另行计量；如乙方采用非爆破方法开挖，计量按单价执行，不予调整。该单价为挖基坑综合单价，含回填土方及分层碾压费用。回填土方不予另行计量。</t>
    </r>
  </si>
  <si>
    <r>
      <rPr>
        <sz val="10"/>
        <color indexed="8"/>
        <rFont val="Times New Roman"/>
        <family val="1"/>
      </rPr>
      <t xml:space="preserve">       </t>
    </r>
    <r>
      <rPr>
        <sz val="10"/>
        <color indexed="8"/>
        <rFont val="宋体"/>
        <family val="3"/>
        <charset val="134"/>
      </rPr>
      <t>便道填筑及维护、挖基、基坑排水、基底清理；材料收集或采购、运输、铺筑、碾压等所有与垫层有关的工作内容。</t>
    </r>
  </si>
  <si>
    <r>
      <rPr>
        <sz val="10"/>
        <color indexed="8"/>
        <rFont val="Times New Roman"/>
        <family val="1"/>
      </rPr>
      <t xml:space="preserve">       </t>
    </r>
    <r>
      <rPr>
        <sz val="10"/>
        <color indexed="8"/>
        <rFont val="宋体"/>
        <family val="3"/>
        <charset val="134"/>
      </rPr>
      <t>便道填筑及维护、挖基、基坑排水、基底清理；材料收集或采购、运输、铺筑、碾压等所有与换填有关的工作内容。</t>
    </r>
  </si>
  <si>
    <r>
      <rPr>
        <sz val="10"/>
        <color rgb="FF000000"/>
        <rFont val="Times New Roman"/>
        <family val="1"/>
      </rPr>
      <t xml:space="preserve">       </t>
    </r>
    <r>
      <rPr>
        <sz val="10"/>
        <color rgb="FF000000"/>
        <rFont val="宋体"/>
        <family val="3"/>
        <charset val="134"/>
      </rPr>
      <t>便道填筑及维护、挖基、基坑排水、基底清理；材料采购、运输、铺筑、碾压等所有与换填有关的工作内容。</t>
    </r>
  </si>
  <si>
    <r>
      <rPr>
        <sz val="10"/>
        <color theme="1"/>
        <rFont val="宋体"/>
        <family val="3"/>
        <charset val="134"/>
      </rPr>
      <t xml:space="preserve">   </t>
    </r>
    <r>
      <rPr>
        <sz val="10"/>
        <color rgb="FF000000"/>
        <rFont val="宋体"/>
        <family val="3"/>
        <charset val="134"/>
      </rPr>
      <t>便道修通及维护、场地清理；围堰、排水；基坑开挖（含钻爆）；基坑支护；基坑检查、修整；基坑回填、压实；边坡及底面修整、弃方清运至指定弃土场整平、安全防护等等所有与清理现场有关的工作内容。（综合的单价含回填管道、集水井回填单价）</t>
    </r>
  </si>
  <si>
    <r>
      <rPr>
        <sz val="10"/>
        <color theme="1"/>
        <rFont val="宋体"/>
        <family val="3"/>
        <charset val="134"/>
      </rPr>
      <t xml:space="preserve">   依据图纸所示地面线、图纸所示开挖土石比例（实际如有不符，不予调整）并经现场实际验收合格，按照天然密实体积按双方核定的设计（含变更设计）内的数量以立方米为单位计量(设计外的开挖数量及费用已含在综合单价内，不另行计算)</t>
    </r>
    <r>
      <rPr>
        <sz val="10"/>
        <color rgb="FF000000"/>
        <rFont val="宋体"/>
        <family val="3"/>
        <charset val="134"/>
      </rPr>
      <t>。爆破手续及安全手续的办理、爆破耗材、安全防护设施、安全人员等所需费用已含在综合单价中，不另行计量；如乙方采用非爆破方法开挖，计量按单价执行，不予调整。。该单价为挖基坑综合单价，含回填土方及分层碾压费用。回填土方不予另行计量。</t>
    </r>
  </si>
  <si>
    <r>
      <rPr>
        <sz val="10"/>
        <color rgb="FF000000"/>
        <rFont val="Arial Narrow"/>
        <family val="2"/>
      </rPr>
      <t>Φ1.0m</t>
    </r>
    <r>
      <rPr>
        <sz val="10"/>
        <color rgb="FF000000"/>
        <rFont val="宋体"/>
        <family val="3"/>
        <charset val="134"/>
      </rPr>
      <t>管节安装</t>
    </r>
  </si>
  <si>
    <r>
      <rPr>
        <sz val="10"/>
        <color rgb="FF000000"/>
        <rFont val="Arial Narrow"/>
        <family val="2"/>
      </rPr>
      <t>Φ0.8m</t>
    </r>
    <r>
      <rPr>
        <sz val="10"/>
        <color rgb="FF000000"/>
        <rFont val="宋体"/>
        <family val="3"/>
        <charset val="134"/>
      </rPr>
      <t>管节安装</t>
    </r>
  </si>
  <si>
    <r>
      <rPr>
        <sz val="10"/>
        <color rgb="FF000000"/>
        <rFont val="Arial Narrow"/>
        <family val="2"/>
      </rPr>
      <t>DN50cmHDPE</t>
    </r>
    <r>
      <rPr>
        <sz val="10"/>
        <color rgb="FF000000"/>
        <rFont val="宋体"/>
        <family val="3"/>
        <charset val="134"/>
      </rPr>
      <t>管节安装</t>
    </r>
  </si>
  <si>
    <r>
      <rPr>
        <sz val="10"/>
        <color rgb="FF000000"/>
        <rFont val="Times New Roman"/>
        <family val="1"/>
      </rPr>
      <t xml:space="preserve">       </t>
    </r>
    <r>
      <rPr>
        <sz val="10"/>
        <color rgb="FF000000"/>
        <rFont val="宋体"/>
        <family val="3"/>
        <charset val="134"/>
      </rPr>
      <t>便道填筑及维护、挖基、基坑排水、基底清理；材料采购、运输、铺筑、碾压等所有与垫层有关的工作内容。</t>
    </r>
  </si>
  <si>
    <t xml:space="preserve"> 上饶野生动物乐园主干道道路工程路基工程量清单（LJFB-3标NK0+000~K2+682.22）</t>
  </si>
  <si>
    <t>回填碎石土（软石）</t>
  </si>
  <si>
    <r>
      <rPr>
        <sz val="10"/>
        <color theme="1"/>
        <rFont val="宋体"/>
        <family val="3"/>
        <charset val="134"/>
      </rPr>
      <t xml:space="preserve">   依据图纸所示地面线、图纸所示开挖土石比例（实际如有不符，不予调整）并经现场实际验收合格，按照天然密实体积按双方核定的设计（含变更设计）内的数量以立方米为单位计量(设计外的开挖数量及费用已含在综合单价内，不另行计算)</t>
    </r>
    <r>
      <rPr>
        <sz val="10"/>
        <color indexed="8"/>
        <rFont val="宋体"/>
        <family val="3"/>
        <charset val="134"/>
      </rPr>
      <t>。爆破手续及安全手续的办理、爆破耗材、安全防护设施、安全人员等所需费用已含在综合单价中，不另行计量；如乙方采用非爆破方法开挖，计量按单价执行，不予调整。</t>
    </r>
  </si>
  <si>
    <r>
      <rPr>
        <sz val="10"/>
        <color rgb="FF000000"/>
        <rFont val="Arial Narrow"/>
        <family val="2"/>
      </rPr>
      <t>DN20cm</t>
    </r>
    <r>
      <rPr>
        <sz val="10"/>
        <color rgb="FF000000"/>
        <rFont val="宋体"/>
        <family val="3"/>
        <charset val="134"/>
      </rPr>
      <t>管节安装</t>
    </r>
  </si>
  <si>
    <r>
      <rPr>
        <sz val="10"/>
        <color rgb="FF000000"/>
        <rFont val="Arial Narrow"/>
        <family val="2"/>
      </rPr>
      <t>DN30mHDPE</t>
    </r>
    <r>
      <rPr>
        <sz val="10"/>
        <color rgb="FF000000"/>
        <rFont val="宋体"/>
        <family val="3"/>
        <charset val="134"/>
      </rPr>
      <t>管节安装</t>
    </r>
  </si>
  <si>
    <t>单70cm雨水篦</t>
  </si>
  <si>
    <t xml:space="preserve">    场地清理、基础开挖、浇筑砼基础、砌墙、粉刷抹面、养护、回填基础、安装基座、盖雨水篦及固定等所有与雨水井有关的工作内容。</t>
  </si>
  <si>
    <t>依据图纸所示位置和浇筑砼厚度、砖砌厚高度、采用形式按照设计交底并经现场验收合格的按双方核定的设计（含设计变更）内工程量以座为单位计量。所有材料、设备（含发电机、搅拌机及施工用电设施等）及便道填筑及维护、土石方开挖、安全防护设施等均由乙方提供及实施，费用已含在综合单价中，不另行计量。（甲方提供雨水篦及基座）</t>
  </si>
  <si>
    <r>
      <rPr>
        <sz val="10"/>
        <rFont val="宋体"/>
        <family val="3"/>
        <charset val="134"/>
      </rPr>
      <t>依据图纸所示位置及范围并经现场实际验收合格，按路基开挖线或填筑边线之间的水平投影面积按双方核定的设计（含变更设计）内的数量，以平方米为单位计量。台阶开挖、施工便道、便涵修建及维护、施工便道及施工区洒水抑尘、路基范围以外临时工程用地、场地清理、取、弃土场等清除表土费用、</t>
    </r>
    <r>
      <rPr>
        <sz val="10"/>
        <color rgb="FFFF0000"/>
        <rFont val="宋体"/>
        <family val="3"/>
        <charset val="134"/>
      </rPr>
      <t>切割</t>
    </r>
    <r>
      <rPr>
        <sz val="10"/>
        <rFont val="宋体"/>
        <family val="3"/>
        <charset val="134"/>
      </rPr>
      <t>清除房屋门口砼路面费用及弃土整平费用、安全防护措施等已含在综合单价中，不另行计量。弃土运距已考虑综合里程，费用包含在综合单价中，施工中不因弃土运距的远近进行调价。（暂定运距3km，视具体情况进行调整）</t>
    </r>
    <phoneticPr fontId="38" type="noConversion"/>
  </si>
  <si>
    <r>
      <t>依据图纸所示位置及范围并经现场实际验收合格，按路基开挖线或填筑边线之间的水平投影面积按双方核定的设计（含变更设计）内的数量，以平方米为单位计量。台阶开挖、施工便道、便涵修建及维护、施工便道及施工区洒水抑尘、路基范围以外临时工程用地、场地清理、取、弃土场等清除表土费用、</t>
    </r>
    <r>
      <rPr>
        <sz val="10"/>
        <color rgb="FFFF0000"/>
        <rFont val="宋体"/>
        <family val="3"/>
        <charset val="134"/>
      </rPr>
      <t>切割</t>
    </r>
    <r>
      <rPr>
        <sz val="10"/>
        <rFont val="宋体"/>
        <family val="3"/>
        <charset val="134"/>
      </rPr>
      <t>清除房屋门口砼路面费用及弃土整平费用、安全防护措施等已含在综合单价中，不另行计量。弃土运距已考虑综合里程，费用包含在综合单价中，施工中不因弃土运距的远近进行调价。（暂定运距3km，视具体情况进行调整）</t>
    </r>
    <phoneticPr fontId="38" type="noConversion"/>
  </si>
  <si>
    <r>
      <t>依据图纸所示位置及范围并经现场实际验收合格，按路基开挖线或填筑边线之间的水平投影面积按双方核定的设计（含变更设计）内的数量，以平方米为单位计量。台阶开挖、施工便道、便涵修建及维护、施工便道及施工区洒水抑尘、路基范围以外临时工程用地、场地清理、取、弃土场等清除表土费用、</t>
    </r>
    <r>
      <rPr>
        <sz val="9.5"/>
        <color rgb="FFFF0000"/>
        <rFont val="宋体"/>
        <family val="3"/>
        <charset val="134"/>
      </rPr>
      <t>切割</t>
    </r>
    <r>
      <rPr>
        <sz val="9.5"/>
        <rFont val="宋体"/>
        <family val="3"/>
        <charset val="134"/>
      </rPr>
      <t>清除房屋门口砼路面费用及弃土整平费用、安全防护措施等已含在综合单价中，不另行计量。弃土运距已考虑综合里程，费用包含在综合单价中，施工中不因弃土运距的远近进行调价。（暂定运距3km，视具体情况进行调整）</t>
    </r>
    <phoneticPr fontId="38" type="noConversion"/>
  </si>
  <si>
    <t xml:space="preserve">    依据图纸所示地面线、路基设计横断面图并经现场实际验收合格，按平均断面面积法计算压实的体积，按双方核定的设计（含变更设计）内的数量以立方米为单位计量；满足施工需要，便道、便涵填筑及维护、施工便道及施工区洒水抑尘、台阶开挖及回填、预留路基宽度超宽填的填方量及地面下沉增加的填方量、路基补强所需费用（含大型冲击锤补强，或者采用强夯机夯实发生的费用）、安全防护措施等作为路基填筑的附属工作，不另行计量；边沟、排水沟、截水沟、排水工程开挖土方、取土场清表、砍挖树木等费用已含在综合单价中，不另行计量。；运输1km内已含在综合单价中，每超过500m运距综合单价增加费用0.7元/m3。当甲方发现填方路基完工后沉降可以随时要求乙方配备26t以上压路机，或者采用强夯机夯实，发生的费用由乙方承担。</t>
    <phoneticPr fontId="38" type="noConversion"/>
  </si>
  <si>
    <r>
      <t xml:space="preserve">     </t>
    </r>
    <r>
      <rPr>
        <sz val="9.5"/>
        <color indexed="8"/>
        <rFont val="宋体"/>
        <family val="3"/>
        <charset val="134"/>
      </rPr>
      <t>低填浅挖处理、填挖交界处理、半填半挖处理、挖台阶处理、陡坡路堤处理、新旧路衔接等特殊路基台阶设置；取土场便道、便涵填筑及维护、施工便道及施工区洒水抑尘；借土、石场场地清理、清除不适用材料；</t>
    </r>
    <r>
      <rPr>
        <sz val="9.5"/>
        <color indexed="8"/>
        <rFont val="Arial Narrow"/>
        <family val="2"/>
      </rPr>
      <t xml:space="preserve"> </t>
    </r>
    <r>
      <rPr>
        <sz val="9.5"/>
        <color indexed="8"/>
        <rFont val="宋体"/>
        <family val="3"/>
        <charset val="134"/>
      </rPr>
      <t>基底翻松、压实、挖台阶；</t>
    </r>
    <r>
      <rPr>
        <sz val="9.5"/>
        <color indexed="8"/>
        <rFont val="Arial Narrow"/>
        <family val="2"/>
      </rPr>
      <t xml:space="preserve"> </t>
    </r>
    <r>
      <rPr>
        <sz val="9.5"/>
        <color indexed="8"/>
        <rFont val="宋体"/>
        <family val="3"/>
        <charset val="134"/>
      </rPr>
      <t>挖、装、运输</t>
    </r>
    <r>
      <rPr>
        <sz val="9.5"/>
        <color indexed="8"/>
        <rFont val="Arial Narrow"/>
        <family val="2"/>
      </rPr>
      <t>1km</t>
    </r>
    <r>
      <rPr>
        <sz val="9.5"/>
        <color indexed="8"/>
        <rFont val="宋体"/>
        <family val="3"/>
        <charset val="134"/>
      </rPr>
      <t>内、卸车；分层摊铺；洒水、压实、刷坡、路基补强；施工排水处理；借土场整型等所有与借土填方有关的工作内容。</t>
    </r>
    <phoneticPr fontId="38" type="noConversion"/>
  </si>
</sst>
</file>

<file path=xl/styles.xml><?xml version="1.0" encoding="utf-8"?>
<styleSheet xmlns="http://schemas.openxmlformats.org/spreadsheetml/2006/main">
  <numFmts count="3">
    <numFmt numFmtId="176" formatCode="0_ "/>
    <numFmt numFmtId="177" formatCode="0.00_);[Red]\(0.00\)"/>
    <numFmt numFmtId="178" formatCode="0.00000_);[Red]\(0.00000\)"/>
  </numFmts>
  <fonts count="39">
    <font>
      <sz val="11"/>
      <color theme="1"/>
      <name val="宋体"/>
      <charset val="134"/>
      <scheme val="minor"/>
    </font>
    <font>
      <sz val="10"/>
      <color theme="1"/>
      <name val="宋体"/>
      <charset val="134"/>
      <scheme val="minor"/>
    </font>
    <font>
      <b/>
      <sz val="20"/>
      <color theme="1"/>
      <name val="宋体"/>
      <charset val="134"/>
      <scheme val="minor"/>
    </font>
    <font>
      <b/>
      <sz val="10"/>
      <color theme="1"/>
      <name val="宋体"/>
      <charset val="134"/>
      <scheme val="minor"/>
    </font>
    <font>
      <sz val="10"/>
      <name val="宋体"/>
      <charset val="134"/>
    </font>
    <font>
      <sz val="10"/>
      <color theme="1"/>
      <name val="宋体"/>
      <charset val="134"/>
    </font>
    <font>
      <sz val="10"/>
      <color indexed="8"/>
      <name val="Arial Narrow"/>
      <family val="2"/>
    </font>
    <font>
      <sz val="10"/>
      <color indexed="8"/>
      <name val="宋体"/>
      <family val="3"/>
      <charset val="134"/>
    </font>
    <font>
      <sz val="10"/>
      <color rgb="FF000000"/>
      <name val="Arial Narrow"/>
      <family val="2"/>
    </font>
    <font>
      <sz val="10"/>
      <name val="Arial Narrow"/>
      <family val="2"/>
    </font>
    <font>
      <sz val="10"/>
      <color rgb="FF000000"/>
      <name val="宋体"/>
      <family val="3"/>
      <charset val="134"/>
      <scheme val="minor"/>
    </font>
    <font>
      <sz val="10"/>
      <color rgb="FF000000"/>
      <name val="Times New Roman"/>
      <family val="1"/>
    </font>
    <font>
      <sz val="10"/>
      <color rgb="FF000000"/>
      <name val="宋体"/>
      <family val="3"/>
      <charset val="134"/>
    </font>
    <font>
      <sz val="10"/>
      <name val="宋体"/>
      <family val="3"/>
      <charset val="134"/>
      <scheme val="minor"/>
    </font>
    <font>
      <sz val="10"/>
      <color rgb="FF000000"/>
      <name val="smartSimSun"/>
      <family val="3"/>
      <charset val="134"/>
    </font>
    <font>
      <sz val="10"/>
      <color indexed="8"/>
      <name val="Times New Roman"/>
      <family val="1"/>
    </font>
    <font>
      <sz val="9.5"/>
      <color theme="1"/>
      <name val="宋体"/>
      <family val="3"/>
      <charset val="134"/>
      <scheme val="minor"/>
    </font>
    <font>
      <sz val="9.5"/>
      <color theme="1"/>
      <name val="宋体"/>
      <family val="3"/>
      <charset val="134"/>
    </font>
    <font>
      <sz val="9.5"/>
      <name val="宋体"/>
      <family val="3"/>
      <charset val="134"/>
    </font>
    <font>
      <sz val="9.5"/>
      <color indexed="8"/>
      <name val="Arial Narrow"/>
      <family val="2"/>
    </font>
    <font>
      <sz val="9.5"/>
      <color indexed="8"/>
      <name val="宋体"/>
      <family val="3"/>
      <charset val="134"/>
    </font>
    <font>
      <sz val="9.5"/>
      <name val="Arial Narrow"/>
      <family val="2"/>
    </font>
    <font>
      <sz val="9.5"/>
      <color rgb="FF000000"/>
      <name val="Arial Narrow"/>
      <family val="2"/>
    </font>
    <font>
      <sz val="9.5"/>
      <color rgb="FF000000"/>
      <name val="宋体"/>
      <family val="3"/>
      <charset val="134"/>
      <scheme val="minor"/>
    </font>
    <font>
      <sz val="9.5"/>
      <color rgb="FF000000"/>
      <name val="Times New Roman"/>
      <family val="1"/>
    </font>
    <font>
      <sz val="9.5"/>
      <color rgb="FF000000"/>
      <name val="宋体"/>
      <family val="3"/>
      <charset val="134"/>
    </font>
    <font>
      <sz val="9.5"/>
      <name val="宋体"/>
      <family val="3"/>
      <charset val="134"/>
      <scheme val="minor"/>
    </font>
    <font>
      <sz val="9.5"/>
      <color indexed="8"/>
      <name val="Times New Roman"/>
      <family val="1"/>
    </font>
    <font>
      <sz val="12"/>
      <color rgb="FF000000"/>
      <name val="宋体"/>
      <family val="3"/>
      <charset val="134"/>
    </font>
    <font>
      <sz val="12"/>
      <name val="宋体"/>
      <family val="3"/>
      <charset val="134"/>
    </font>
    <font>
      <sz val="10"/>
      <color rgb="FFFF0000"/>
      <name val="宋体"/>
      <family val="3"/>
      <charset val="134"/>
    </font>
    <font>
      <u/>
      <sz val="10"/>
      <color rgb="FF000000"/>
      <name val="宋体"/>
      <family val="3"/>
      <charset val="134"/>
    </font>
    <font>
      <u/>
      <sz val="10"/>
      <color indexed="8"/>
      <name val="宋体"/>
      <family val="3"/>
      <charset val="134"/>
    </font>
    <font>
      <sz val="9.5"/>
      <color rgb="FFFF0000"/>
      <name val="宋体"/>
      <family val="3"/>
      <charset val="134"/>
    </font>
    <font>
      <u/>
      <sz val="9.5"/>
      <color indexed="8"/>
      <name val="宋体"/>
      <family val="3"/>
      <charset val="134"/>
    </font>
    <font>
      <sz val="11"/>
      <color theme="1"/>
      <name val="宋体"/>
      <family val="3"/>
      <charset val="134"/>
      <scheme val="minor"/>
    </font>
    <font>
      <sz val="10"/>
      <name val="宋体"/>
      <family val="3"/>
      <charset val="134"/>
    </font>
    <font>
      <sz val="10"/>
      <color theme="1"/>
      <name val="宋体"/>
      <family val="3"/>
      <charset val="134"/>
    </font>
    <font>
      <sz val="9"/>
      <name val="宋体"/>
      <family val="3"/>
      <charset val="134"/>
      <scheme val="minor"/>
    </font>
  </fonts>
  <fills count="3">
    <fill>
      <patternFill patternType="none"/>
    </fill>
    <fill>
      <patternFill patternType="gray125"/>
    </fill>
    <fill>
      <patternFill patternType="solid">
        <fgColor theme="0"/>
        <bgColor indexed="64"/>
      </patternFill>
    </fill>
  </fills>
  <borders count="14">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indexed="8"/>
      </left>
      <right/>
      <top style="thin">
        <color indexed="8"/>
      </top>
      <bottom/>
      <diagonal/>
    </border>
    <border>
      <left style="thin">
        <color auto="1"/>
      </left>
      <right style="thin">
        <color auto="1"/>
      </right>
      <top style="thin">
        <color auto="1"/>
      </top>
      <bottom/>
      <diagonal/>
    </border>
    <border>
      <left style="thin">
        <color indexed="8"/>
      </left>
      <right/>
      <top style="thin">
        <color indexed="8"/>
      </top>
      <bottom style="thin">
        <color indexed="8"/>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indexed="64"/>
      </left>
      <right style="thin">
        <color indexed="64"/>
      </right>
      <top style="thin">
        <color indexed="64"/>
      </top>
      <bottom style="thin">
        <color indexed="64"/>
      </bottom>
      <diagonal/>
    </border>
  </borders>
  <cellStyleXfs count="150">
    <xf numFmtId="0" fontId="0" fillId="0" borderId="0">
      <alignment vertical="center"/>
    </xf>
    <xf numFmtId="0" fontId="35" fillId="0" borderId="0"/>
    <xf numFmtId="0" fontId="29"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28" fillId="0" borderId="0">
      <alignment vertical="center"/>
    </xf>
    <xf numFmtId="0" fontId="35"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xf numFmtId="0" fontId="35" fillId="0" borderId="0"/>
    <xf numFmtId="0" fontId="35" fillId="0" borderId="0">
      <alignment vertical="center"/>
    </xf>
    <xf numFmtId="0" fontId="35" fillId="0" borderId="0">
      <alignment vertical="center"/>
    </xf>
    <xf numFmtId="0" fontId="35" fillId="0" borderId="0">
      <alignment vertical="center"/>
    </xf>
    <xf numFmtId="0" fontId="29"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28"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xf numFmtId="0" fontId="35" fillId="0" borderId="0"/>
    <xf numFmtId="0" fontId="28" fillId="0" borderId="0">
      <alignment vertical="center"/>
    </xf>
    <xf numFmtId="0" fontId="35" fillId="0" borderId="0"/>
    <xf numFmtId="0" fontId="35" fillId="0" borderId="0"/>
    <xf numFmtId="0" fontId="35" fillId="0" borderId="0"/>
    <xf numFmtId="0" fontId="35"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xf numFmtId="0" fontId="35" fillId="0" borderId="0">
      <alignment vertical="center"/>
    </xf>
    <xf numFmtId="0" fontId="35" fillId="0" borderId="0">
      <alignment vertical="center"/>
    </xf>
    <xf numFmtId="0" fontId="29" fillId="0" borderId="0">
      <alignment vertical="center"/>
    </xf>
    <xf numFmtId="0" fontId="29" fillId="0" borderId="0">
      <alignment vertical="center"/>
    </xf>
    <xf numFmtId="0" fontId="35" fillId="0" borderId="0">
      <alignment vertical="center"/>
    </xf>
    <xf numFmtId="0" fontId="35" fillId="0" borderId="0"/>
    <xf numFmtId="0" fontId="29" fillId="0" borderId="0">
      <alignment vertical="center"/>
    </xf>
    <xf numFmtId="0" fontId="29" fillId="0" borderId="0">
      <alignment vertical="center"/>
    </xf>
    <xf numFmtId="0" fontId="35" fillId="0" borderId="0">
      <alignment vertical="center"/>
    </xf>
    <xf numFmtId="0" fontId="35" fillId="0" borderId="0">
      <alignment vertical="center"/>
    </xf>
    <xf numFmtId="0" fontId="29" fillId="0" borderId="0">
      <alignment vertical="center"/>
    </xf>
    <xf numFmtId="0" fontId="35" fillId="0" borderId="0"/>
    <xf numFmtId="0" fontId="29" fillId="0" borderId="0">
      <alignment vertical="center"/>
    </xf>
    <xf numFmtId="0" fontId="29" fillId="0" borderId="0">
      <alignment vertical="center"/>
    </xf>
    <xf numFmtId="0" fontId="29" fillId="0" borderId="0">
      <alignment vertical="center"/>
    </xf>
    <xf numFmtId="0" fontId="29"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9" fillId="0" borderId="0">
      <alignment vertical="center"/>
    </xf>
    <xf numFmtId="0" fontId="35" fillId="0" borderId="0"/>
    <xf numFmtId="0" fontId="35" fillId="0" borderId="0">
      <alignment vertical="center"/>
    </xf>
    <xf numFmtId="0" fontId="35" fillId="0" borderId="0"/>
    <xf numFmtId="0" fontId="35" fillId="0" borderId="0"/>
    <xf numFmtId="0" fontId="35" fillId="0" borderId="0"/>
    <xf numFmtId="0" fontId="35" fillId="0" borderId="0"/>
    <xf numFmtId="0" fontId="35" fillId="0" borderId="0"/>
    <xf numFmtId="0" fontId="35" fillId="0" borderId="0"/>
    <xf numFmtId="0" fontId="35" fillId="0" borderId="0">
      <alignment vertical="center"/>
    </xf>
    <xf numFmtId="0" fontId="35"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28" fillId="0" borderId="0">
      <alignment vertical="center"/>
    </xf>
    <xf numFmtId="0" fontId="35" fillId="0" borderId="0">
      <alignment vertical="center"/>
    </xf>
    <xf numFmtId="0" fontId="28" fillId="0" borderId="0">
      <alignment vertical="center"/>
    </xf>
    <xf numFmtId="0" fontId="35" fillId="0" borderId="0">
      <alignment vertical="center"/>
    </xf>
    <xf numFmtId="0" fontId="35" fillId="0" borderId="0">
      <alignment vertical="center"/>
    </xf>
    <xf numFmtId="0" fontId="28" fillId="0" borderId="0">
      <alignment vertical="center"/>
    </xf>
    <xf numFmtId="0" fontId="28" fillId="0" borderId="0">
      <alignment vertical="center"/>
    </xf>
    <xf numFmtId="0" fontId="28" fillId="0" borderId="0">
      <alignment vertical="center"/>
    </xf>
    <xf numFmtId="0" fontId="35" fillId="0" borderId="0"/>
    <xf numFmtId="0" fontId="35" fillId="0" borderId="0"/>
    <xf numFmtId="0" fontId="35"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29" fillId="0" borderId="0"/>
    <xf numFmtId="0" fontId="35" fillId="0" borderId="0">
      <alignment vertical="center"/>
    </xf>
    <xf numFmtId="0" fontId="35" fillId="0" borderId="0"/>
    <xf numFmtId="0" fontId="35" fillId="0" borderId="0">
      <alignment vertical="center"/>
    </xf>
    <xf numFmtId="0" fontId="29" fillId="0" borderId="0"/>
    <xf numFmtId="0" fontId="35" fillId="0" borderId="0">
      <alignment vertical="center"/>
    </xf>
    <xf numFmtId="0" fontId="35" fillId="0" borderId="0">
      <alignment vertical="center"/>
    </xf>
    <xf numFmtId="0" fontId="35" fillId="0" borderId="0">
      <alignment vertical="center"/>
    </xf>
    <xf numFmtId="0" fontId="29" fillId="0" borderId="0">
      <alignment vertical="center"/>
    </xf>
    <xf numFmtId="0" fontId="29" fillId="0" borderId="0">
      <alignment vertical="center"/>
    </xf>
    <xf numFmtId="0" fontId="35" fillId="0" borderId="0"/>
    <xf numFmtId="0" fontId="35" fillId="0" borderId="0"/>
    <xf numFmtId="0" fontId="35" fillId="0" borderId="0"/>
    <xf numFmtId="0" fontId="35" fillId="0" borderId="0"/>
    <xf numFmtId="0" fontId="28" fillId="0" borderId="0">
      <alignment vertical="center"/>
    </xf>
    <xf numFmtId="0" fontId="35" fillId="0" borderId="0">
      <alignment vertical="center"/>
    </xf>
    <xf numFmtId="0" fontId="35" fillId="0" borderId="0">
      <alignment vertical="center"/>
    </xf>
    <xf numFmtId="0" fontId="35" fillId="0" borderId="0"/>
    <xf numFmtId="0" fontId="35" fillId="0" borderId="0">
      <alignment vertical="center"/>
    </xf>
    <xf numFmtId="0" fontId="35" fillId="0" borderId="0">
      <alignment vertical="center"/>
    </xf>
    <xf numFmtId="0" fontId="35" fillId="0" borderId="0">
      <alignment vertical="center"/>
    </xf>
    <xf numFmtId="0" fontId="35" fillId="0" borderId="0"/>
    <xf numFmtId="0" fontId="35" fillId="0" borderId="0"/>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xf numFmtId="0" fontId="35" fillId="0" borderId="0">
      <alignment vertical="center"/>
    </xf>
  </cellStyleXfs>
  <cellXfs count="158">
    <xf numFmtId="0" fontId="0" fillId="0" borderId="0" xfId="0">
      <alignment vertical="center"/>
    </xf>
    <xf numFmtId="0" fontId="1" fillId="2" borderId="0" xfId="0" applyFont="1" applyFill="1">
      <alignment vertical="center"/>
    </xf>
    <xf numFmtId="0" fontId="1" fillId="2" borderId="0" xfId="0" applyFont="1" applyFill="1" applyBorder="1" applyAlignment="1"/>
    <xf numFmtId="49" fontId="1" fillId="2" borderId="0" xfId="0" applyNumberFormat="1" applyFont="1" applyFill="1">
      <alignment vertical="center"/>
    </xf>
    <xf numFmtId="0" fontId="1" fillId="2" borderId="0" xfId="0" applyFont="1" applyFill="1" applyAlignment="1">
      <alignment vertical="center"/>
    </xf>
    <xf numFmtId="0" fontId="1" fillId="2" borderId="0" xfId="0" applyFont="1" applyFill="1" applyAlignment="1">
      <alignment horizontal="left" vertical="center"/>
    </xf>
    <xf numFmtId="177" fontId="1" fillId="2" borderId="0" xfId="0" applyNumberFormat="1" applyFont="1" applyFill="1" applyAlignment="1">
      <alignment horizontal="center" vertical="center" wrapText="1"/>
    </xf>
    <xf numFmtId="49" fontId="3" fillId="2" borderId="2" xfId="0" applyNumberFormat="1"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horizontal="left" vertical="center" wrapText="1"/>
    </xf>
    <xf numFmtId="0" fontId="1" fillId="2" borderId="2" xfId="0" applyFont="1" applyFill="1" applyBorder="1" applyAlignment="1">
      <alignment horizontal="center" vertical="center" wrapText="1"/>
    </xf>
    <xf numFmtId="0" fontId="1" fillId="2" borderId="2" xfId="0" applyFont="1" applyFill="1" applyBorder="1" applyAlignment="1">
      <alignment horizontal="left" vertical="center" wrapText="1"/>
    </xf>
    <xf numFmtId="49" fontId="4" fillId="2" borderId="2" xfId="0" applyNumberFormat="1" applyFont="1" applyFill="1" applyBorder="1" applyAlignment="1">
      <alignment vertical="center" wrapText="1"/>
    </xf>
    <xf numFmtId="0" fontId="4" fillId="2" borderId="2" xfId="0" applyFont="1" applyFill="1" applyBorder="1" applyAlignment="1">
      <alignment horizontal="left" vertical="center" wrapText="1"/>
    </xf>
    <xf numFmtId="0" fontId="4" fillId="2" borderId="2" xfId="0" applyFont="1" applyFill="1" applyBorder="1" applyAlignment="1">
      <alignment horizontal="center" vertical="center" wrapText="1"/>
    </xf>
    <xf numFmtId="0" fontId="5" fillId="2" borderId="2" xfId="0" applyFont="1" applyFill="1" applyBorder="1" applyAlignment="1">
      <alignment horizontal="center" vertical="center" wrapText="1"/>
    </xf>
    <xf numFmtId="0" fontId="5" fillId="2" borderId="2" xfId="0" applyFont="1" applyFill="1" applyBorder="1" applyAlignment="1">
      <alignment horizontal="left" vertical="center" wrapText="1"/>
    </xf>
    <xf numFmtId="176" fontId="4" fillId="2" borderId="2" xfId="0" applyNumberFormat="1" applyFont="1" applyFill="1" applyBorder="1" applyAlignment="1">
      <alignment horizontal="center" vertical="center" wrapText="1"/>
    </xf>
    <xf numFmtId="176" fontId="1" fillId="2" borderId="2" xfId="0" applyNumberFormat="1" applyFont="1" applyFill="1" applyBorder="1" applyAlignment="1">
      <alignment horizontal="center" vertical="center" wrapText="1"/>
    </xf>
    <xf numFmtId="0" fontId="4" fillId="2" borderId="2" xfId="22" applyFont="1" applyFill="1" applyBorder="1" applyAlignment="1">
      <alignment horizontal="left" vertical="center" wrapText="1"/>
    </xf>
    <xf numFmtId="176" fontId="6" fillId="2" borderId="3" xfId="28" applyNumberFormat="1" applyFont="1" applyFill="1" applyBorder="1" applyAlignment="1" applyProtection="1">
      <alignment horizontal="left" vertical="center" wrapText="1"/>
      <protection locked="0"/>
    </xf>
    <xf numFmtId="176" fontId="7" fillId="2" borderId="4" xfId="28" applyNumberFormat="1" applyFont="1" applyFill="1" applyBorder="1" applyAlignment="1" applyProtection="1">
      <alignment horizontal="left" vertical="top" wrapText="1"/>
      <protection locked="0"/>
    </xf>
    <xf numFmtId="0" fontId="8" fillId="2" borderId="2" xfId="0" applyNumberFormat="1" applyFont="1" applyFill="1" applyBorder="1" applyAlignment="1">
      <alignment horizontal="center" vertical="center" shrinkToFit="1"/>
    </xf>
    <xf numFmtId="176" fontId="9" fillId="2" borderId="5" xfId="20" applyNumberFormat="1" applyFont="1" applyFill="1" applyBorder="1" applyAlignment="1" applyProtection="1">
      <alignment horizontal="left" vertical="center" wrapText="1"/>
      <protection locked="0"/>
    </xf>
    <xf numFmtId="176" fontId="8" fillId="2" borderId="2" xfId="20" applyNumberFormat="1" applyFont="1" applyFill="1" applyBorder="1" applyAlignment="1" applyProtection="1">
      <alignment horizontal="left" vertical="top" wrapText="1"/>
      <protection locked="0"/>
    </xf>
    <xf numFmtId="0" fontId="1" fillId="2" borderId="2" xfId="99" applyFont="1" applyFill="1" applyBorder="1" applyAlignment="1">
      <alignment horizontal="center" vertical="center" wrapText="1"/>
    </xf>
    <xf numFmtId="0" fontId="1" fillId="2" borderId="2" xfId="99" applyFont="1" applyFill="1" applyBorder="1" applyAlignment="1">
      <alignment horizontal="left" vertical="center" wrapText="1"/>
    </xf>
    <xf numFmtId="176" fontId="6" fillId="2" borderId="5" xfId="45" applyNumberFormat="1" applyFont="1" applyFill="1" applyBorder="1" applyAlignment="1" applyProtection="1">
      <alignment horizontal="left" vertical="center" wrapText="1"/>
      <protection locked="0"/>
    </xf>
    <xf numFmtId="0" fontId="10" fillId="2" borderId="2" xfId="45" applyFont="1" applyFill="1" applyBorder="1" applyAlignment="1">
      <alignment horizontal="left" vertical="center" wrapText="1"/>
    </xf>
    <xf numFmtId="0" fontId="11" fillId="2" borderId="2" xfId="45" applyFont="1" applyFill="1" applyBorder="1" applyAlignment="1">
      <alignment vertical="center" wrapText="1"/>
    </xf>
    <xf numFmtId="0" fontId="1" fillId="2" borderId="2" xfId="0" applyFont="1" applyFill="1" applyBorder="1" applyAlignment="1">
      <alignment vertical="center" wrapText="1"/>
    </xf>
    <xf numFmtId="176" fontId="6" fillId="2" borderId="5" xfId="28" applyNumberFormat="1" applyFont="1" applyFill="1" applyBorder="1" applyAlignment="1" applyProtection="1">
      <alignment horizontal="left" vertical="center" wrapText="1"/>
      <protection locked="0"/>
    </xf>
    <xf numFmtId="176" fontId="7" fillId="2" borderId="2" xfId="28" applyNumberFormat="1" applyFont="1" applyFill="1" applyBorder="1" applyAlignment="1" applyProtection="1">
      <alignment horizontal="left" vertical="top" wrapText="1"/>
      <protection locked="0"/>
    </xf>
    <xf numFmtId="0" fontId="5" fillId="2" borderId="2" xfId="96" applyFont="1" applyFill="1" applyBorder="1" applyAlignment="1">
      <alignment horizontal="left" vertical="center" wrapText="1"/>
    </xf>
    <xf numFmtId="176" fontId="4" fillId="2" borderId="2" xfId="0" applyNumberFormat="1" applyFont="1" applyFill="1" applyBorder="1" applyAlignment="1" applyProtection="1">
      <alignment horizontal="left" vertical="center" wrapText="1"/>
      <protection locked="0"/>
    </xf>
    <xf numFmtId="0" fontId="4" fillId="2" borderId="2" xfId="99" applyFont="1" applyFill="1" applyBorder="1" applyAlignment="1">
      <alignment horizontal="left" vertical="center" wrapText="1"/>
    </xf>
    <xf numFmtId="176" fontId="6" fillId="2" borderId="5" xfId="44" applyNumberFormat="1" applyFont="1" applyFill="1" applyBorder="1" applyAlignment="1" applyProtection="1">
      <alignment horizontal="left" vertical="center" wrapText="1"/>
      <protection locked="0"/>
    </xf>
    <xf numFmtId="176" fontId="6" fillId="2" borderId="2" xfId="44" applyNumberFormat="1" applyFont="1" applyFill="1" applyBorder="1" applyAlignment="1" applyProtection="1">
      <alignment horizontal="left" vertical="top" wrapText="1"/>
      <protection locked="0"/>
    </xf>
    <xf numFmtId="0" fontId="5" fillId="2" borderId="2" xfId="96" applyFont="1" applyFill="1" applyBorder="1" applyAlignment="1">
      <alignment horizontal="center" vertical="center" wrapText="1"/>
    </xf>
    <xf numFmtId="49" fontId="4" fillId="2" borderId="2" xfId="99" applyNumberFormat="1" applyFont="1" applyFill="1" applyBorder="1" applyAlignment="1">
      <alignment vertical="center" wrapText="1"/>
    </xf>
    <xf numFmtId="0" fontId="4" fillId="2" borderId="2" xfId="99" applyFont="1" applyFill="1" applyBorder="1" applyAlignment="1">
      <alignment horizontal="center" vertical="center" wrapText="1"/>
    </xf>
    <xf numFmtId="0" fontId="13" fillId="2" borderId="2" xfId="0" applyFont="1" applyFill="1" applyBorder="1" applyAlignment="1">
      <alignment horizontal="left" vertical="center" wrapText="1"/>
    </xf>
    <xf numFmtId="0" fontId="14" fillId="2" borderId="2" xfId="0" applyFont="1" applyFill="1" applyBorder="1" applyAlignment="1">
      <alignment horizontal="center" vertical="center" shrinkToFit="1"/>
    </xf>
    <xf numFmtId="0" fontId="12" fillId="2" borderId="2" xfId="0" applyFont="1" applyFill="1" applyBorder="1" applyAlignment="1">
      <alignment vertical="center" wrapText="1"/>
    </xf>
    <xf numFmtId="49" fontId="13" fillId="2" borderId="2" xfId="0" applyNumberFormat="1" applyFont="1" applyFill="1" applyBorder="1" applyAlignment="1">
      <alignment vertical="center" wrapText="1"/>
    </xf>
    <xf numFmtId="0" fontId="13" fillId="2" borderId="2" xfId="0" applyFont="1" applyFill="1" applyBorder="1" applyAlignment="1">
      <alignment horizontal="center" vertical="center" wrapText="1"/>
    </xf>
    <xf numFmtId="49" fontId="8" fillId="2" borderId="2" xfId="0" applyNumberFormat="1" applyFont="1" applyFill="1" applyBorder="1" applyAlignment="1">
      <alignment vertical="center" shrinkToFit="1"/>
    </xf>
    <xf numFmtId="0" fontId="14" fillId="2" borderId="2" xfId="0" applyFont="1" applyFill="1" applyBorder="1" applyAlignment="1">
      <alignment horizontal="center" vertical="center" wrapText="1" shrinkToFit="1"/>
    </xf>
    <xf numFmtId="0" fontId="8" fillId="2" borderId="2" xfId="0" applyFont="1" applyFill="1" applyBorder="1" applyAlignment="1">
      <alignment horizontal="center" vertical="center" shrinkToFit="1"/>
    </xf>
    <xf numFmtId="0" fontId="1" fillId="2" borderId="2" xfId="0" applyFont="1" applyFill="1" applyBorder="1">
      <alignment vertical="center"/>
    </xf>
    <xf numFmtId="0" fontId="12" fillId="2" borderId="2" xfId="0" applyFont="1" applyFill="1" applyBorder="1" applyAlignment="1">
      <alignment horizontal="center" vertical="center" wrapText="1" shrinkToFit="1"/>
    </xf>
    <xf numFmtId="177" fontId="5" fillId="2" borderId="2" xfId="0" applyNumberFormat="1" applyFont="1" applyFill="1" applyBorder="1" applyAlignment="1">
      <alignment horizontal="left" vertical="center" wrapText="1"/>
    </xf>
    <xf numFmtId="0" fontId="5" fillId="2" borderId="2" xfId="116" applyFont="1" applyFill="1" applyBorder="1" applyAlignment="1">
      <alignment horizontal="left" vertical="center" wrapText="1"/>
    </xf>
    <xf numFmtId="177" fontId="5" fillId="2" borderId="2" xfId="57" applyNumberFormat="1" applyFont="1" applyFill="1" applyBorder="1" applyAlignment="1">
      <alignment horizontal="left" vertical="center" wrapText="1"/>
    </xf>
    <xf numFmtId="0" fontId="8" fillId="2" borderId="2" xfId="0" applyFont="1" applyFill="1" applyBorder="1" applyAlignment="1">
      <alignment horizontal="center" vertical="center" wrapText="1" shrinkToFit="1"/>
    </xf>
    <xf numFmtId="0" fontId="1" fillId="2" borderId="2" xfId="0" applyFont="1" applyFill="1" applyBorder="1" applyAlignment="1">
      <alignment horizontal="center" vertical="center"/>
    </xf>
    <xf numFmtId="0" fontId="5" fillId="2" borderId="2" xfId="14" applyFont="1" applyFill="1" applyBorder="1" applyAlignment="1">
      <alignment horizontal="left" vertical="center" wrapText="1"/>
    </xf>
    <xf numFmtId="177" fontId="5" fillId="2" borderId="2" xfId="14" applyNumberFormat="1" applyFont="1" applyFill="1" applyBorder="1" applyAlignment="1">
      <alignment horizontal="left" vertical="center" wrapText="1"/>
    </xf>
    <xf numFmtId="0" fontId="15" fillId="2" borderId="2" xfId="47" applyFont="1" applyFill="1" applyBorder="1" applyAlignment="1">
      <alignment horizontal="left" vertical="center" wrapText="1"/>
    </xf>
    <xf numFmtId="177" fontId="5" fillId="2" borderId="2" xfId="50" applyNumberFormat="1" applyFont="1" applyFill="1" applyBorder="1" applyAlignment="1">
      <alignment horizontal="left" vertical="center" wrapText="1"/>
    </xf>
    <xf numFmtId="0" fontId="5" fillId="2" borderId="2" xfId="65" applyFont="1" applyFill="1" applyBorder="1" applyAlignment="1">
      <alignment horizontal="left" vertical="center" wrapText="1"/>
    </xf>
    <xf numFmtId="0" fontId="5" fillId="2" borderId="2" xfId="65" applyFont="1" applyFill="1" applyBorder="1" applyAlignment="1">
      <alignment horizontal="left" vertical="top" wrapText="1"/>
    </xf>
    <xf numFmtId="0" fontId="5" fillId="2" borderId="2" xfId="89" applyFont="1" applyFill="1" applyBorder="1" applyAlignment="1">
      <alignment horizontal="left" vertical="center" wrapText="1"/>
    </xf>
    <xf numFmtId="0" fontId="5" fillId="2" borderId="2" xfId="89" applyFont="1" applyFill="1" applyBorder="1" applyAlignment="1">
      <alignment horizontal="left" vertical="top" wrapText="1"/>
    </xf>
    <xf numFmtId="177" fontId="5" fillId="2" borderId="2" xfId="21" applyNumberFormat="1" applyFont="1" applyFill="1" applyBorder="1" applyAlignment="1">
      <alignment horizontal="left" vertical="center" wrapText="1"/>
    </xf>
    <xf numFmtId="0" fontId="5" fillId="2" borderId="2" xfId="92" applyFont="1" applyFill="1" applyBorder="1" applyAlignment="1">
      <alignment horizontal="left" vertical="center" wrapText="1"/>
    </xf>
    <xf numFmtId="0" fontId="5" fillId="2" borderId="2" xfId="92" applyFont="1" applyFill="1" applyBorder="1" applyAlignment="1">
      <alignment horizontal="left" vertical="top" wrapText="1"/>
    </xf>
    <xf numFmtId="0" fontId="12" fillId="2" borderId="2" xfId="0" applyFont="1" applyFill="1" applyBorder="1" applyAlignment="1">
      <alignment horizontal="left" vertical="center" wrapText="1" shrinkToFit="1"/>
    </xf>
    <xf numFmtId="49" fontId="9" fillId="2" borderId="2" xfId="0" applyNumberFormat="1" applyFont="1" applyFill="1" applyBorder="1" applyAlignment="1">
      <alignment vertical="center" shrinkToFit="1"/>
    </xf>
    <xf numFmtId="0" fontId="4" fillId="2" borderId="2" xfId="0" applyFont="1" applyFill="1" applyBorder="1" applyAlignment="1">
      <alignment horizontal="left" vertical="center" wrapText="1" shrinkToFit="1"/>
    </xf>
    <xf numFmtId="0" fontId="9" fillId="2" borderId="2" xfId="0" applyFont="1" applyFill="1" applyBorder="1" applyAlignment="1">
      <alignment horizontal="center" vertical="center" shrinkToFit="1"/>
    </xf>
    <xf numFmtId="0" fontId="13" fillId="2" borderId="2" xfId="0" applyFont="1" applyFill="1" applyBorder="1" applyAlignment="1">
      <alignment horizontal="center" vertical="center"/>
    </xf>
    <xf numFmtId="49" fontId="14" fillId="2" borderId="2" xfId="0" applyNumberFormat="1" applyFont="1" applyFill="1" applyBorder="1" applyAlignment="1">
      <alignment vertical="center" shrinkToFit="1"/>
    </xf>
    <xf numFmtId="0" fontId="11" fillId="2" borderId="2" xfId="47" applyFont="1" applyFill="1" applyBorder="1" applyAlignment="1">
      <alignment horizontal="left" vertical="center" wrapText="1"/>
    </xf>
    <xf numFmtId="177" fontId="3" fillId="2" borderId="2" xfId="0" applyNumberFormat="1" applyFont="1" applyFill="1" applyBorder="1" applyAlignment="1">
      <alignment horizontal="center" vertical="center" wrapText="1"/>
    </xf>
    <xf numFmtId="177" fontId="1" fillId="2" borderId="2" xfId="0" applyNumberFormat="1" applyFont="1" applyFill="1" applyBorder="1" applyAlignment="1">
      <alignment horizontal="center" vertical="center" wrapText="1"/>
    </xf>
    <xf numFmtId="178" fontId="1" fillId="2" borderId="2" xfId="0" applyNumberFormat="1" applyFont="1" applyFill="1" applyBorder="1" applyAlignment="1">
      <alignment horizontal="center" vertical="center" wrapText="1"/>
    </xf>
    <xf numFmtId="177" fontId="1" fillId="2" borderId="2" xfId="99" applyNumberFormat="1" applyFont="1" applyFill="1" applyBorder="1" applyAlignment="1">
      <alignment horizontal="center" vertical="center" wrapText="1"/>
    </xf>
    <xf numFmtId="177" fontId="1" fillId="2" borderId="2" xfId="0" applyNumberFormat="1" applyFont="1" applyFill="1" applyBorder="1" applyAlignment="1">
      <alignment vertical="center" wrapText="1"/>
    </xf>
    <xf numFmtId="49" fontId="8" fillId="2" borderId="2" xfId="0" applyNumberFormat="1" applyFont="1" applyFill="1" applyBorder="1" applyAlignment="1">
      <alignment horizontal="center" vertical="center" shrinkToFit="1"/>
    </xf>
    <xf numFmtId="0" fontId="12" fillId="2" borderId="2" xfId="0" applyFont="1" applyFill="1" applyBorder="1" applyAlignment="1">
      <alignment horizontal="center" vertical="center" shrinkToFit="1"/>
    </xf>
    <xf numFmtId="0" fontId="5" fillId="2" borderId="2" xfId="14" applyFont="1" applyFill="1" applyBorder="1" applyAlignment="1">
      <alignment horizontal="center" vertical="center" wrapText="1"/>
    </xf>
    <xf numFmtId="0" fontId="5" fillId="2" borderId="2" xfId="116" applyFont="1" applyFill="1" applyBorder="1" applyAlignment="1">
      <alignment horizontal="center" vertical="center" wrapText="1"/>
    </xf>
    <xf numFmtId="49" fontId="1" fillId="2" borderId="2" xfId="0" applyNumberFormat="1" applyFont="1" applyFill="1" applyBorder="1">
      <alignment vertical="center"/>
    </xf>
    <xf numFmtId="176" fontId="3" fillId="2" borderId="2" xfId="0" applyNumberFormat="1" applyFont="1" applyFill="1" applyBorder="1" applyAlignment="1">
      <alignment horizontal="center" vertical="center" wrapText="1"/>
    </xf>
    <xf numFmtId="176" fontId="6" fillId="2" borderId="3" xfId="28" applyNumberFormat="1" applyFont="1" applyFill="1" applyBorder="1" applyAlignment="1" applyProtection="1">
      <alignment horizontal="left" vertical="top" wrapText="1"/>
      <protection locked="0"/>
    </xf>
    <xf numFmtId="176" fontId="9" fillId="2" borderId="5" xfId="20" applyNumberFormat="1" applyFont="1" applyFill="1" applyBorder="1" applyAlignment="1" applyProtection="1">
      <alignment horizontal="left" vertical="top" wrapText="1"/>
      <protection locked="0"/>
    </xf>
    <xf numFmtId="176" fontId="6" fillId="2" borderId="5" xfId="28" applyNumberFormat="1" applyFont="1" applyFill="1" applyBorder="1" applyAlignment="1" applyProtection="1">
      <alignment horizontal="left" vertical="top" wrapText="1"/>
      <protection locked="0"/>
    </xf>
    <xf numFmtId="176" fontId="6" fillId="2" borderId="5" xfId="44" applyNumberFormat="1" applyFont="1" applyFill="1" applyBorder="1" applyAlignment="1" applyProtection="1">
      <alignment horizontal="left" vertical="top" wrapText="1"/>
      <protection locked="0"/>
    </xf>
    <xf numFmtId="0" fontId="5" fillId="2" borderId="2" xfId="116" applyFont="1" applyFill="1" applyBorder="1" applyAlignment="1">
      <alignment horizontal="left" vertical="top" wrapText="1"/>
    </xf>
    <xf numFmtId="0" fontId="5" fillId="2" borderId="2" xfId="14" applyFont="1" applyFill="1" applyBorder="1" applyAlignment="1">
      <alignment horizontal="left" vertical="top" wrapText="1"/>
    </xf>
    <xf numFmtId="0" fontId="15" fillId="2" borderId="2" xfId="47" applyFont="1" applyFill="1" applyBorder="1" applyAlignment="1">
      <alignment horizontal="left" vertical="top" wrapText="1"/>
    </xf>
    <xf numFmtId="0" fontId="1" fillId="2" borderId="2" xfId="0" applyFont="1" applyFill="1" applyBorder="1" applyAlignment="1">
      <alignment vertical="center"/>
    </xf>
    <xf numFmtId="0" fontId="11" fillId="2" borderId="2" xfId="47" applyFont="1" applyFill="1" applyBorder="1" applyAlignment="1">
      <alignment horizontal="left" vertical="top" wrapText="1"/>
    </xf>
    <xf numFmtId="0" fontId="5" fillId="2" borderId="2" xfId="14" applyFont="1" applyFill="1" applyBorder="1" applyAlignment="1">
      <alignment horizontal="center" vertical="top" wrapText="1"/>
    </xf>
    <xf numFmtId="0" fontId="5" fillId="2" borderId="2" xfId="116" applyFont="1" applyFill="1" applyBorder="1" applyAlignment="1">
      <alignment horizontal="center" vertical="top" wrapText="1"/>
    </xf>
    <xf numFmtId="0" fontId="16" fillId="2" borderId="2" xfId="0" applyFont="1" applyFill="1" applyBorder="1" applyAlignment="1">
      <alignment horizontal="center" vertical="center" wrapText="1"/>
    </xf>
    <xf numFmtId="0" fontId="16" fillId="2" borderId="2" xfId="0" applyFont="1" applyFill="1" applyBorder="1" applyAlignment="1">
      <alignment horizontal="left" vertical="center" wrapText="1"/>
    </xf>
    <xf numFmtId="0" fontId="17" fillId="2" borderId="2" xfId="0" applyFont="1" applyFill="1" applyBorder="1" applyAlignment="1">
      <alignment horizontal="center" vertical="center" wrapText="1"/>
    </xf>
    <xf numFmtId="0" fontId="17" fillId="2" borderId="2" xfId="0" applyFont="1" applyFill="1" applyBorder="1" applyAlignment="1">
      <alignment horizontal="left" vertical="center" wrapText="1"/>
    </xf>
    <xf numFmtId="0" fontId="18" fillId="2" borderId="2" xfId="22" applyFont="1" applyFill="1" applyBorder="1" applyAlignment="1">
      <alignment horizontal="left" vertical="center" wrapText="1"/>
    </xf>
    <xf numFmtId="176" fontId="19" fillId="2" borderId="3" xfId="28" applyNumberFormat="1" applyFont="1" applyFill="1" applyBorder="1" applyAlignment="1" applyProtection="1">
      <alignment horizontal="left" vertical="center" wrapText="1"/>
      <protection locked="0"/>
    </xf>
    <xf numFmtId="176" fontId="20" fillId="2" borderId="4" xfId="28" applyNumberFormat="1" applyFont="1" applyFill="1" applyBorder="1" applyAlignment="1" applyProtection="1">
      <alignment horizontal="left" vertical="top" wrapText="1"/>
      <protection locked="0"/>
    </xf>
    <xf numFmtId="176" fontId="21" fillId="2" borderId="5" xfId="20" applyNumberFormat="1" applyFont="1" applyFill="1" applyBorder="1" applyAlignment="1" applyProtection="1">
      <alignment horizontal="left" vertical="center" wrapText="1"/>
      <protection locked="0"/>
    </xf>
    <xf numFmtId="176" fontId="22" fillId="2" borderId="2" xfId="20" applyNumberFormat="1" applyFont="1" applyFill="1" applyBorder="1" applyAlignment="1" applyProtection="1">
      <alignment horizontal="left" vertical="top" wrapText="1"/>
      <protection locked="0"/>
    </xf>
    <xf numFmtId="0" fontId="16" fillId="2" borderId="2" xfId="99" applyFont="1" applyFill="1" applyBorder="1" applyAlignment="1">
      <alignment horizontal="center" vertical="center" wrapText="1"/>
    </xf>
    <xf numFmtId="0" fontId="16" fillId="2" borderId="2" xfId="99" applyFont="1" applyFill="1" applyBorder="1" applyAlignment="1">
      <alignment horizontal="left" vertical="center" wrapText="1"/>
    </xf>
    <xf numFmtId="176" fontId="20" fillId="2" borderId="5" xfId="45" applyNumberFormat="1" applyFont="1" applyFill="1" applyBorder="1" applyAlignment="1" applyProtection="1">
      <alignment horizontal="left" vertical="center" wrapText="1"/>
      <protection locked="0"/>
    </xf>
    <xf numFmtId="0" fontId="23" fillId="2" borderId="2" xfId="45" applyFont="1" applyFill="1" applyBorder="1" applyAlignment="1">
      <alignment horizontal="left" vertical="center" wrapText="1"/>
    </xf>
    <xf numFmtId="0" fontId="24" fillId="2" borderId="2" xfId="45" applyFont="1" applyFill="1" applyBorder="1" applyAlignment="1">
      <alignment vertical="center" wrapText="1"/>
    </xf>
    <xf numFmtId="176" fontId="19" fillId="2" borderId="5" xfId="28" applyNumberFormat="1" applyFont="1" applyFill="1" applyBorder="1" applyAlignment="1" applyProtection="1">
      <alignment horizontal="left" vertical="center" wrapText="1"/>
      <protection locked="0"/>
    </xf>
    <xf numFmtId="176" fontId="20" fillId="2" borderId="2" xfId="28" applyNumberFormat="1" applyFont="1" applyFill="1" applyBorder="1" applyAlignment="1" applyProtection="1">
      <alignment horizontal="left" vertical="top" wrapText="1"/>
      <protection locked="0"/>
    </xf>
    <xf numFmtId="0" fontId="17" fillId="2" borderId="2" xfId="96" applyFont="1" applyFill="1" applyBorder="1" applyAlignment="1">
      <alignment horizontal="left" vertical="center" wrapText="1"/>
    </xf>
    <xf numFmtId="176" fontId="18" fillId="2" borderId="2" xfId="0" applyNumberFormat="1" applyFont="1" applyFill="1" applyBorder="1" applyAlignment="1" applyProtection="1">
      <alignment horizontal="left" vertical="center" wrapText="1"/>
      <protection locked="0"/>
    </xf>
    <xf numFmtId="0" fontId="18" fillId="2" borderId="2" xfId="0" applyFont="1" applyFill="1" applyBorder="1" applyAlignment="1">
      <alignment horizontal="left" vertical="center" wrapText="1"/>
    </xf>
    <xf numFmtId="0" fontId="18" fillId="2" borderId="2" xfId="99" applyFont="1" applyFill="1" applyBorder="1" applyAlignment="1">
      <alignment horizontal="left" vertical="center" wrapText="1"/>
    </xf>
    <xf numFmtId="176" fontId="19" fillId="2" borderId="5" xfId="44" applyNumberFormat="1" applyFont="1" applyFill="1" applyBorder="1" applyAlignment="1" applyProtection="1">
      <alignment horizontal="left" vertical="center" wrapText="1"/>
      <protection locked="0"/>
    </xf>
    <xf numFmtId="176" fontId="19" fillId="2" borderId="2" xfId="44" applyNumberFormat="1" applyFont="1" applyFill="1" applyBorder="1" applyAlignment="1" applyProtection="1">
      <alignment horizontal="left" vertical="top" wrapText="1"/>
      <protection locked="0"/>
    </xf>
    <xf numFmtId="0" fontId="26" fillId="2" borderId="2" xfId="0" applyFont="1" applyFill="1" applyBorder="1" applyAlignment="1">
      <alignment horizontal="left" vertical="center" wrapText="1"/>
    </xf>
    <xf numFmtId="0" fontId="25" fillId="2" borderId="2" xfId="0" applyFont="1" applyFill="1" applyBorder="1" applyAlignment="1">
      <alignment vertical="center" wrapText="1"/>
    </xf>
    <xf numFmtId="0" fontId="26" fillId="2" borderId="2" xfId="0" applyFont="1" applyFill="1" applyBorder="1" applyAlignment="1">
      <alignment horizontal="center" vertical="center" wrapText="1"/>
    </xf>
    <xf numFmtId="177" fontId="17" fillId="2" borderId="2" xfId="0" applyNumberFormat="1" applyFont="1" applyFill="1" applyBorder="1" applyAlignment="1">
      <alignment horizontal="left" vertical="center" wrapText="1"/>
    </xf>
    <xf numFmtId="0" fontId="17" fillId="2" borderId="2" xfId="116" applyFont="1" applyFill="1" applyBorder="1" applyAlignment="1">
      <alignment horizontal="left" vertical="center" wrapText="1"/>
    </xf>
    <xf numFmtId="177" fontId="17" fillId="2" borderId="2" xfId="57" applyNumberFormat="1" applyFont="1" applyFill="1" applyBorder="1" applyAlignment="1">
      <alignment horizontal="left" vertical="center" wrapText="1"/>
    </xf>
    <xf numFmtId="0" fontId="17" fillId="2" borderId="2" xfId="14" applyFont="1" applyFill="1" applyBorder="1" applyAlignment="1">
      <alignment horizontal="left" vertical="center" wrapText="1"/>
    </xf>
    <xf numFmtId="177" fontId="17" fillId="2" borderId="2" xfId="14" applyNumberFormat="1" applyFont="1" applyFill="1" applyBorder="1" applyAlignment="1">
      <alignment horizontal="left" vertical="center" wrapText="1"/>
    </xf>
    <xf numFmtId="0" fontId="27" fillId="2" borderId="2" xfId="47" applyFont="1" applyFill="1" applyBorder="1" applyAlignment="1">
      <alignment horizontal="left" vertical="center" wrapText="1"/>
    </xf>
    <xf numFmtId="177" fontId="17" fillId="2" borderId="2" xfId="50" applyNumberFormat="1" applyFont="1" applyFill="1" applyBorder="1" applyAlignment="1">
      <alignment horizontal="left" vertical="center" wrapText="1"/>
    </xf>
    <xf numFmtId="0" fontId="17" fillId="2" borderId="2" xfId="65" applyFont="1" applyFill="1" applyBorder="1" applyAlignment="1">
      <alignment horizontal="left" vertical="center" wrapText="1"/>
    </xf>
    <xf numFmtId="0" fontId="17" fillId="2" borderId="2" xfId="65" applyFont="1" applyFill="1" applyBorder="1" applyAlignment="1">
      <alignment horizontal="left" vertical="top" wrapText="1"/>
    </xf>
    <xf numFmtId="0" fontId="17" fillId="2" borderId="2" xfId="89" applyFont="1" applyFill="1" applyBorder="1" applyAlignment="1">
      <alignment horizontal="left" vertical="center" wrapText="1"/>
    </xf>
    <xf numFmtId="0" fontId="17" fillId="2" borderId="2" xfId="89" applyFont="1" applyFill="1" applyBorder="1" applyAlignment="1">
      <alignment horizontal="left" vertical="top" wrapText="1"/>
    </xf>
    <xf numFmtId="177" fontId="17" fillId="2" borderId="2" xfId="21" applyNumberFormat="1" applyFont="1" applyFill="1" applyBorder="1" applyAlignment="1">
      <alignment horizontal="left" vertical="center" wrapText="1"/>
    </xf>
    <xf numFmtId="0" fontId="17" fillId="2" borderId="2" xfId="92" applyFont="1" applyFill="1" applyBorder="1" applyAlignment="1">
      <alignment horizontal="left" vertical="center" wrapText="1"/>
    </xf>
    <xf numFmtId="0" fontId="17" fillId="2" borderId="2" xfId="92" applyFont="1" applyFill="1" applyBorder="1" applyAlignment="1">
      <alignment horizontal="left" vertical="top" wrapText="1"/>
    </xf>
    <xf numFmtId="0" fontId="24" fillId="2" borderId="2" xfId="47" applyFont="1" applyFill="1" applyBorder="1" applyAlignment="1">
      <alignment horizontal="left" vertical="center" wrapText="1"/>
    </xf>
    <xf numFmtId="0" fontId="17" fillId="2" borderId="2" xfId="14" applyFont="1" applyFill="1" applyBorder="1" applyAlignment="1">
      <alignment horizontal="center" vertical="center" wrapText="1"/>
    </xf>
    <xf numFmtId="0" fontId="17" fillId="2" borderId="2" xfId="116" applyFont="1" applyFill="1" applyBorder="1" applyAlignment="1">
      <alignment horizontal="center" vertical="center" wrapText="1"/>
    </xf>
    <xf numFmtId="0" fontId="36" fillId="2" borderId="2" xfId="22" applyFont="1" applyFill="1" applyBorder="1" applyAlignment="1">
      <alignment horizontal="left" vertical="center" wrapText="1"/>
    </xf>
    <xf numFmtId="178" fontId="1" fillId="2" borderId="13" xfId="0" applyNumberFormat="1" applyFont="1" applyFill="1" applyBorder="1" applyAlignment="1">
      <alignment horizontal="center" vertical="center" wrapText="1"/>
    </xf>
    <xf numFmtId="0" fontId="1" fillId="2" borderId="13" xfId="99" applyFont="1" applyFill="1" applyBorder="1" applyAlignment="1">
      <alignment horizontal="center" vertical="center" wrapText="1"/>
    </xf>
    <xf numFmtId="0" fontId="1" fillId="2" borderId="9" xfId="0" applyFont="1" applyFill="1" applyBorder="1" applyAlignment="1">
      <alignment horizontal="left"/>
    </xf>
    <xf numFmtId="0" fontId="1" fillId="2" borderId="1" xfId="0" applyFont="1" applyFill="1" applyBorder="1" applyAlignment="1">
      <alignment horizontal="left"/>
    </xf>
    <xf numFmtId="0" fontId="1" fillId="2" borderId="12" xfId="0" applyFont="1" applyFill="1" applyBorder="1" applyAlignment="1">
      <alignment horizontal="left"/>
    </xf>
    <xf numFmtId="0" fontId="1" fillId="2" borderId="6" xfId="0" applyFont="1" applyFill="1" applyBorder="1" applyAlignment="1">
      <alignment horizontal="left" vertical="center" wrapText="1"/>
    </xf>
    <xf numFmtId="0" fontId="1" fillId="2" borderId="7" xfId="0" applyFont="1" applyFill="1" applyBorder="1" applyAlignment="1">
      <alignment horizontal="left" vertical="center" wrapText="1"/>
    </xf>
    <xf numFmtId="0" fontId="1" fillId="2" borderId="10" xfId="0" applyFont="1" applyFill="1" applyBorder="1" applyAlignment="1">
      <alignment horizontal="left" vertical="center" wrapText="1"/>
    </xf>
    <xf numFmtId="0" fontId="1" fillId="2" borderId="8" xfId="0" applyFont="1" applyFill="1" applyBorder="1" applyAlignment="1">
      <alignment horizontal="left" vertical="center" wrapText="1"/>
    </xf>
    <xf numFmtId="0" fontId="1" fillId="2" borderId="0" xfId="0" applyFont="1" applyFill="1" applyBorder="1" applyAlignment="1">
      <alignment horizontal="left" vertical="center" wrapText="1"/>
    </xf>
    <xf numFmtId="0" fontId="1" fillId="2" borderId="11" xfId="0" applyFont="1" applyFill="1" applyBorder="1" applyAlignment="1">
      <alignment horizontal="left" vertical="center" wrapText="1"/>
    </xf>
    <xf numFmtId="49"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49" fontId="5" fillId="2" borderId="8" xfId="0" applyNumberFormat="1" applyFont="1" applyFill="1" applyBorder="1" applyAlignment="1">
      <alignment horizontal="left" vertical="center" wrapText="1"/>
    </xf>
    <xf numFmtId="49" fontId="5" fillId="2" borderId="0" xfId="0" applyNumberFormat="1" applyFont="1" applyFill="1" applyBorder="1" applyAlignment="1">
      <alignment horizontal="left" vertical="center" wrapText="1"/>
    </xf>
    <xf numFmtId="49" fontId="5" fillId="2" borderId="11" xfId="0" applyNumberFormat="1" applyFont="1" applyFill="1" applyBorder="1" applyAlignment="1">
      <alignment horizontal="left" vertical="center" wrapText="1"/>
    </xf>
    <xf numFmtId="0" fontId="1" fillId="2" borderId="8" xfId="0" applyFont="1" applyFill="1" applyBorder="1" applyAlignment="1">
      <alignment horizontal="left"/>
    </xf>
    <xf numFmtId="0" fontId="1" fillId="2" borderId="0" xfId="0" applyFont="1" applyFill="1" applyBorder="1" applyAlignment="1">
      <alignment horizontal="left"/>
    </xf>
    <xf numFmtId="0" fontId="1" fillId="2" borderId="11" xfId="0" applyFont="1" applyFill="1" applyBorder="1" applyAlignment="1">
      <alignment horizontal="left"/>
    </xf>
  </cellXfs>
  <cellStyles count="150">
    <cellStyle name="常规" xfId="0" builtinId="0"/>
    <cellStyle name="常规 10" xfId="21"/>
    <cellStyle name="常规 10 2" xfId="24"/>
    <cellStyle name="常规 10 2 2" xfId="28"/>
    <cellStyle name="常规 10 3" xfId="3"/>
    <cellStyle name="常规 11" xfId="30"/>
    <cellStyle name="常规 11 2" xfId="33"/>
    <cellStyle name="常规 11 2 2" xfId="4"/>
    <cellStyle name="常规 11 3" xfId="26"/>
    <cellStyle name="常规 12" xfId="12"/>
    <cellStyle name="常规 12 2" xfId="35"/>
    <cellStyle name="常规 12 2 2" xfId="10"/>
    <cellStyle name="常规 12 3" xfId="36"/>
    <cellStyle name="常规 13" xfId="32"/>
    <cellStyle name="常规 13 2" xfId="5"/>
    <cellStyle name="常规 13 2 2" xfId="20"/>
    <cellStyle name="常规 13 3" xfId="7"/>
    <cellStyle name="常规 14" xfId="37"/>
    <cellStyle name="常规 14 2" xfId="38"/>
    <cellStyle name="常规 14 2 2" xfId="39"/>
    <cellStyle name="常规 14 3" xfId="40"/>
    <cellStyle name="常规 15" xfId="41"/>
    <cellStyle name="常规 15 2" xfId="43"/>
    <cellStyle name="常规 15 2 2" xfId="45"/>
    <cellStyle name="常规 15 3" xfId="46"/>
    <cellStyle name="常规 16" xfId="47"/>
    <cellStyle name="常规 16 2" xfId="22"/>
    <cellStyle name="常规 16 2 2" xfId="25"/>
    <cellStyle name="常规 16 2 2 2" xfId="29"/>
    <cellStyle name="常规 16 3" xfId="31"/>
    <cellStyle name="常规 16 3 2" xfId="34"/>
    <cellStyle name="常规 17" xfId="49"/>
    <cellStyle name="常规 17 2" xfId="52"/>
    <cellStyle name="常规 17 2 2" xfId="54"/>
    <cellStyle name="常规 17 3" xfId="55"/>
    <cellStyle name="常规 18" xfId="56"/>
    <cellStyle name="常规 18 2" xfId="58"/>
    <cellStyle name="常规 18 2 2" xfId="60"/>
    <cellStyle name="常规 18 3" xfId="62"/>
    <cellStyle name="常规 19" xfId="64"/>
    <cellStyle name="常规 19 2" xfId="66"/>
    <cellStyle name="常规 2" xfId="68"/>
    <cellStyle name="常规 2 2" xfId="69"/>
    <cellStyle name="常规 2 2 2" xfId="70"/>
    <cellStyle name="常规 2 2 2 2" xfId="72"/>
    <cellStyle name="常规 2 2 2 2 2" xfId="73"/>
    <cellStyle name="常规 2 2 2 3" xfId="74"/>
    <cellStyle name="常规 2 2 2 3 2" xfId="75"/>
    <cellStyle name="常规 2 2 2 4" xfId="19"/>
    <cellStyle name="常规 2 2 2 5" xfId="17"/>
    <cellStyle name="常规 2 2 3" xfId="76"/>
    <cellStyle name="常规 2 2 3 2" xfId="78"/>
    <cellStyle name="常规 2 2 3 3" xfId="79"/>
    <cellStyle name="常规 2 2 4" xfId="2"/>
    <cellStyle name="常规 2 2 4 2" xfId="80"/>
    <cellStyle name="常规 2 2 5" xfId="81"/>
    <cellStyle name="常规 2 3" xfId="82"/>
    <cellStyle name="常规 2 3 2" xfId="83"/>
    <cellStyle name="常规 2 3 2 2" xfId="27"/>
    <cellStyle name="常规 2 3 3" xfId="84"/>
    <cellStyle name="常规 2 4" xfId="85"/>
    <cellStyle name="常规 2 4 2" xfId="86"/>
    <cellStyle name="常规 2 5" xfId="87"/>
    <cellStyle name="常规 2 5 2" xfId="88"/>
    <cellStyle name="常规 20" xfId="42"/>
    <cellStyle name="常规 20 2" xfId="44"/>
    <cellStyle name="常规 21" xfId="48"/>
    <cellStyle name="常规 21 2" xfId="23"/>
    <cellStyle name="常规 22" xfId="50"/>
    <cellStyle name="常规 22 2" xfId="53"/>
    <cellStyle name="常规 23" xfId="57"/>
    <cellStyle name="常规 23 2" xfId="59"/>
    <cellStyle name="常规 23 2 2" xfId="61"/>
    <cellStyle name="常规 23 3" xfId="63"/>
    <cellStyle name="常规 24" xfId="65"/>
    <cellStyle name="常规 24 2" xfId="67"/>
    <cellStyle name="常规 25" xfId="89"/>
    <cellStyle name="常规 25 2" xfId="91"/>
    <cellStyle name="常规 26" xfId="15"/>
    <cellStyle name="常规 27" xfId="92"/>
    <cellStyle name="常规 27 2" xfId="94"/>
    <cellStyle name="常规 28" xfId="95"/>
    <cellStyle name="常规 29" xfId="97"/>
    <cellStyle name="常规 3" xfId="99"/>
    <cellStyle name="常规 3 2" xfId="100"/>
    <cellStyle name="常规 3 2 2" xfId="101"/>
    <cellStyle name="常规 3 2 2 2" xfId="102"/>
    <cellStyle name="常规 3 2 3" xfId="103"/>
    <cellStyle name="常规 3 2 3 2" xfId="104"/>
    <cellStyle name="常规 3 2 4" xfId="105"/>
    <cellStyle name="常规 3 2 5" xfId="106"/>
    <cellStyle name="常规 3 3" xfId="107"/>
    <cellStyle name="常规 3 3 2" xfId="108"/>
    <cellStyle name="常规 3 4" xfId="109"/>
    <cellStyle name="常规 3 4 2" xfId="110"/>
    <cellStyle name="常规 3 5" xfId="111"/>
    <cellStyle name="常规 30" xfId="90"/>
    <cellStyle name="常规 31" xfId="14"/>
    <cellStyle name="常规 32" xfId="93"/>
    <cellStyle name="常规 33" xfId="96"/>
    <cellStyle name="常规 34" xfId="98"/>
    <cellStyle name="常规 35" xfId="112"/>
    <cellStyle name="常规 36" xfId="114"/>
    <cellStyle name="常规 37" xfId="71"/>
    <cellStyle name="常规 38" xfId="77"/>
    <cellStyle name="常规 39" xfId="1"/>
    <cellStyle name="常规 4" xfId="115"/>
    <cellStyle name="常规 4 2" xfId="116"/>
    <cellStyle name="常规 4 2 2" xfId="117"/>
    <cellStyle name="常规 4 2 3" xfId="119"/>
    <cellStyle name="常规 4 2 3 2" xfId="121"/>
    <cellStyle name="常规 4 3" xfId="123"/>
    <cellStyle name="常规 4 3 2" xfId="124"/>
    <cellStyle name="常规 4 4" xfId="118"/>
    <cellStyle name="常规 4 5" xfId="120"/>
    <cellStyle name="常规 40" xfId="113"/>
    <cellStyle name="常规 5" xfId="126"/>
    <cellStyle name="常规 5 2" xfId="11"/>
    <cellStyle name="常规 5 2 2" xfId="13"/>
    <cellStyle name="常规 5 3" xfId="127"/>
    <cellStyle name="常规 5 3 2" xfId="128"/>
    <cellStyle name="常规 5 4" xfId="125"/>
    <cellStyle name="常规 5 5" xfId="129"/>
    <cellStyle name="常规 6" xfId="8"/>
    <cellStyle name="常规 6 2" xfId="130"/>
    <cellStyle name="常规 6 2 2" xfId="131"/>
    <cellStyle name="常规 6 3" xfId="132"/>
    <cellStyle name="常规 6 3 2" xfId="133"/>
    <cellStyle name="常规 6 4" xfId="134"/>
    <cellStyle name="常规 6 4 2" xfId="51"/>
    <cellStyle name="常规 6 5" xfId="9"/>
    <cellStyle name="常规 6 5 2" xfId="135"/>
    <cellStyle name="常规 6 6" xfId="136"/>
    <cellStyle name="常规 7" xfId="137"/>
    <cellStyle name="常规 7 2" xfId="138"/>
    <cellStyle name="常规 7 2 2" xfId="139"/>
    <cellStyle name="常规 7 3" xfId="6"/>
    <cellStyle name="常规 7 3 2" xfId="140"/>
    <cellStyle name="常规 7 4" xfId="122"/>
    <cellStyle name="常规 7 4 2" xfId="141"/>
    <cellStyle name="常规 7 5" xfId="142"/>
    <cellStyle name="常规 7 6" xfId="143"/>
    <cellStyle name="常规 8" xfId="144"/>
    <cellStyle name="常规 8 2" xfId="18"/>
    <cellStyle name="常规 8 2 2" xfId="145"/>
    <cellStyle name="常规 8 3" xfId="16"/>
    <cellStyle name="常规 9" xfId="146"/>
    <cellStyle name="常规 9 2" xfId="147"/>
    <cellStyle name="常规 9 2 2" xfId="148"/>
    <cellStyle name="常规 9 3" xfId="14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dimension ref="A1:I101"/>
  <sheetViews>
    <sheetView tabSelected="1" view="pageBreakPreview" zoomScale="80" zoomScaleNormal="85" zoomScaleSheetLayoutView="80" workbookViewId="0">
      <selection activeCell="F8" sqref="F8"/>
    </sheetView>
  </sheetViews>
  <sheetFormatPr defaultColWidth="9" defaultRowHeight="12"/>
  <cols>
    <col min="1" max="1" width="6.625" style="3" customWidth="1"/>
    <col min="2" max="2" width="12.125" style="1" customWidth="1"/>
    <col min="3" max="3" width="5.125" style="1" customWidth="1"/>
    <col min="4" max="4" width="7.5" style="1" customWidth="1"/>
    <col min="5" max="5" width="8.25" style="1" customWidth="1"/>
    <col min="6" max="6" width="10.75" style="1" customWidth="1"/>
    <col min="7" max="7" width="40.125" style="4" customWidth="1"/>
    <col min="8" max="8" width="56.375" style="5" customWidth="1"/>
    <col min="9" max="9" width="8.125" style="6" customWidth="1"/>
    <col min="10" max="16384" width="9" style="1"/>
  </cols>
  <sheetData>
    <row r="1" spans="1:9" ht="33" customHeight="1">
      <c r="A1" s="150" t="s">
        <v>0</v>
      </c>
      <c r="B1" s="151"/>
      <c r="C1" s="151"/>
      <c r="D1" s="151"/>
      <c r="E1" s="151"/>
      <c r="F1" s="151"/>
      <c r="G1" s="151"/>
      <c r="H1" s="151"/>
      <c r="I1" s="151"/>
    </row>
    <row r="2" spans="1:9" ht="24" customHeight="1">
      <c r="A2" s="7" t="s">
        <v>1</v>
      </c>
      <c r="B2" s="8" t="s">
        <v>2</v>
      </c>
      <c r="C2" s="8" t="s">
        <v>3</v>
      </c>
      <c r="D2" s="8" t="s">
        <v>4</v>
      </c>
      <c r="E2" s="8" t="s">
        <v>5</v>
      </c>
      <c r="F2" s="8" t="s">
        <v>6</v>
      </c>
      <c r="G2" s="8" t="s">
        <v>7</v>
      </c>
      <c r="H2" s="9" t="s">
        <v>8</v>
      </c>
      <c r="I2" s="74" t="s">
        <v>9</v>
      </c>
    </row>
    <row r="3" spans="1:9" ht="186.95" customHeight="1">
      <c r="A3" s="7" t="s">
        <v>10</v>
      </c>
      <c r="B3" s="8" t="s">
        <v>11</v>
      </c>
      <c r="C3" s="8" t="s">
        <v>12</v>
      </c>
      <c r="D3" s="8">
        <v>1</v>
      </c>
      <c r="E3" s="8">
        <f>F3/D3</f>
        <v>80489</v>
      </c>
      <c r="F3" s="8">
        <v>80489</v>
      </c>
      <c r="G3" s="96" t="s">
        <v>13</v>
      </c>
      <c r="H3" s="97" t="s">
        <v>14</v>
      </c>
      <c r="I3" s="74"/>
    </row>
    <row r="4" spans="1:9" ht="20.100000000000001" customHeight="1">
      <c r="A4" s="12" t="s">
        <v>15</v>
      </c>
      <c r="B4" s="13" t="s">
        <v>16</v>
      </c>
      <c r="C4" s="14"/>
      <c r="D4" s="14"/>
      <c r="E4" s="10"/>
      <c r="F4" s="10"/>
      <c r="G4" s="98"/>
      <c r="H4" s="99"/>
      <c r="I4" s="75"/>
    </row>
    <row r="5" spans="1:9" ht="108.95" customHeight="1">
      <c r="A5" s="12" t="s">
        <v>17</v>
      </c>
      <c r="B5" s="13" t="s">
        <v>18</v>
      </c>
      <c r="C5" s="14" t="s">
        <v>19</v>
      </c>
      <c r="D5" s="17">
        <v>22054</v>
      </c>
      <c r="E5" s="10">
        <v>7.18</v>
      </c>
      <c r="F5" s="18">
        <f t="shared" ref="F5:F8" si="0">E5*D5</f>
        <v>158347.72</v>
      </c>
      <c r="G5" s="100" t="s">
        <v>20</v>
      </c>
      <c r="H5" s="100" t="s">
        <v>269</v>
      </c>
      <c r="I5" s="75"/>
    </row>
    <row r="6" spans="1:9" ht="140.25" customHeight="1">
      <c r="A6" s="12" t="s">
        <v>21</v>
      </c>
      <c r="B6" s="13" t="s">
        <v>22</v>
      </c>
      <c r="C6" s="14" t="s">
        <v>19</v>
      </c>
      <c r="D6" s="17">
        <v>22054</v>
      </c>
      <c r="E6" s="10">
        <v>10.36</v>
      </c>
      <c r="F6" s="18">
        <f t="shared" si="0"/>
        <v>228479.43999999997</v>
      </c>
      <c r="G6" s="101" t="s">
        <v>271</v>
      </c>
      <c r="H6" s="102" t="s">
        <v>270</v>
      </c>
      <c r="I6" s="75"/>
    </row>
    <row r="7" spans="1:9" ht="20.100000000000001" customHeight="1">
      <c r="A7" s="12" t="s">
        <v>25</v>
      </c>
      <c r="B7" s="13" t="s">
        <v>26</v>
      </c>
      <c r="C7" s="14"/>
      <c r="D7" s="14"/>
      <c r="E7" s="10"/>
      <c r="F7" s="18"/>
      <c r="G7" s="96"/>
      <c r="H7" s="97"/>
      <c r="I7" s="75"/>
    </row>
    <row r="8" spans="1:9" ht="95.25" customHeight="1">
      <c r="A8" s="12" t="s">
        <v>17</v>
      </c>
      <c r="B8" s="13" t="s">
        <v>27</v>
      </c>
      <c r="C8" s="14" t="s">
        <v>19</v>
      </c>
      <c r="D8" s="14">
        <v>43157</v>
      </c>
      <c r="E8" s="10">
        <v>6.89</v>
      </c>
      <c r="F8" s="18">
        <f t="shared" si="0"/>
        <v>297351.73</v>
      </c>
      <c r="G8" s="96" t="s">
        <v>28</v>
      </c>
      <c r="H8" s="97" t="s">
        <v>29</v>
      </c>
      <c r="I8" s="75"/>
    </row>
    <row r="9" spans="1:9">
      <c r="A9" s="12" t="s">
        <v>21</v>
      </c>
      <c r="B9" s="13" t="s">
        <v>30</v>
      </c>
      <c r="C9" s="14"/>
      <c r="D9" s="14"/>
      <c r="E9" s="10"/>
      <c r="F9" s="18"/>
      <c r="G9" s="96"/>
      <c r="H9" s="97"/>
      <c r="I9" s="75"/>
    </row>
    <row r="10" spans="1:9" ht="108" customHeight="1">
      <c r="A10" s="12">
        <v>-1</v>
      </c>
      <c r="B10" s="13" t="s">
        <v>31</v>
      </c>
      <c r="C10" s="14" t="s">
        <v>19</v>
      </c>
      <c r="D10" s="22">
        <v>16481</v>
      </c>
      <c r="E10" s="10">
        <v>10.71</v>
      </c>
      <c r="F10" s="18">
        <f t="shared" ref="F10:F12" si="1">E10*D10</f>
        <v>176511.51</v>
      </c>
      <c r="G10" s="103" t="s">
        <v>32</v>
      </c>
      <c r="H10" s="104" t="s">
        <v>33</v>
      </c>
      <c r="I10" s="75"/>
    </row>
    <row r="11" spans="1:9" ht="87" customHeight="1">
      <c r="A11" s="12" t="s">
        <v>35</v>
      </c>
      <c r="B11" s="13" t="s">
        <v>36</v>
      </c>
      <c r="C11" s="14" t="s">
        <v>19</v>
      </c>
      <c r="D11" s="14">
        <v>1224</v>
      </c>
      <c r="E11" s="10">
        <v>7.52</v>
      </c>
      <c r="F11" s="18">
        <f t="shared" si="1"/>
        <v>9204.48</v>
      </c>
      <c r="G11" s="105" t="s">
        <v>37</v>
      </c>
      <c r="H11" s="106" t="s">
        <v>38</v>
      </c>
      <c r="I11" s="75"/>
    </row>
    <row r="12" spans="1:9" ht="84" customHeight="1">
      <c r="A12" s="12" t="s">
        <v>39</v>
      </c>
      <c r="B12" s="13" t="s">
        <v>40</v>
      </c>
      <c r="C12" s="14" t="s">
        <v>19</v>
      </c>
      <c r="D12" s="14">
        <v>2355</v>
      </c>
      <c r="E12" s="10">
        <v>14.27</v>
      </c>
      <c r="F12" s="18">
        <f t="shared" si="1"/>
        <v>33605.85</v>
      </c>
      <c r="G12" s="105" t="s">
        <v>41</v>
      </c>
      <c r="H12" s="106" t="s">
        <v>42</v>
      </c>
      <c r="I12" s="75"/>
    </row>
    <row r="13" spans="1:9" ht="24">
      <c r="A13" s="12" t="s">
        <v>43</v>
      </c>
      <c r="B13" s="13" t="s">
        <v>44</v>
      </c>
      <c r="C13" s="14"/>
      <c r="D13" s="14"/>
      <c r="E13" s="10"/>
      <c r="F13" s="18"/>
      <c r="G13" s="96"/>
      <c r="H13" s="97"/>
      <c r="I13" s="75"/>
    </row>
    <row r="14" spans="1:9" ht="149.25" customHeight="1">
      <c r="A14" s="12" t="s">
        <v>21</v>
      </c>
      <c r="B14" s="13" t="s">
        <v>45</v>
      </c>
      <c r="C14" s="14" t="s">
        <v>19</v>
      </c>
      <c r="D14" s="22">
        <v>37204</v>
      </c>
      <c r="E14" s="14">
        <v>3.24</v>
      </c>
      <c r="F14" s="18">
        <f t="shared" ref="F14:F18" si="2">E14*D14</f>
        <v>120540.96</v>
      </c>
      <c r="G14" s="107" t="s">
        <v>46</v>
      </c>
      <c r="H14" s="108" t="s">
        <v>47</v>
      </c>
      <c r="I14" s="75"/>
    </row>
    <row r="15" spans="1:9" ht="151.5" customHeight="1">
      <c r="A15" s="12" t="s">
        <v>48</v>
      </c>
      <c r="B15" s="13" t="s">
        <v>49</v>
      </c>
      <c r="C15" s="14" t="s">
        <v>19</v>
      </c>
      <c r="D15" s="22">
        <v>17914</v>
      </c>
      <c r="E15" s="10">
        <v>4.34</v>
      </c>
      <c r="F15" s="18">
        <f t="shared" si="2"/>
        <v>77746.759999999995</v>
      </c>
      <c r="G15" s="109" t="s">
        <v>50</v>
      </c>
      <c r="H15" s="108" t="s">
        <v>51</v>
      </c>
      <c r="I15" s="75"/>
    </row>
    <row r="16" spans="1:9" ht="147.75" customHeight="1">
      <c r="A16" s="12" t="s">
        <v>52</v>
      </c>
      <c r="B16" s="13" t="s">
        <v>53</v>
      </c>
      <c r="C16" s="14" t="s">
        <v>19</v>
      </c>
      <c r="D16" s="22">
        <v>389</v>
      </c>
      <c r="E16" s="30">
        <v>10.36</v>
      </c>
      <c r="F16" s="18">
        <f t="shared" si="2"/>
        <v>4030.04</v>
      </c>
      <c r="G16" s="110" t="s">
        <v>23</v>
      </c>
      <c r="H16" s="111" t="s">
        <v>54</v>
      </c>
      <c r="I16" s="10"/>
    </row>
    <row r="17" spans="1:9" ht="113.25" customHeight="1">
      <c r="A17" s="12" t="s">
        <v>59</v>
      </c>
      <c r="B17" s="13" t="s">
        <v>60</v>
      </c>
      <c r="C17" s="14" t="s">
        <v>19</v>
      </c>
      <c r="D17" s="14">
        <v>3420.4</v>
      </c>
      <c r="E17" s="10">
        <v>10.36</v>
      </c>
      <c r="F17" s="18">
        <f t="shared" si="2"/>
        <v>35435.343999999997</v>
      </c>
      <c r="G17" s="101" t="s">
        <v>23</v>
      </c>
      <c r="H17" s="102" t="s">
        <v>61</v>
      </c>
      <c r="I17" s="10"/>
    </row>
    <row r="18" spans="1:9" ht="258.75" customHeight="1">
      <c r="A18" s="12" t="s">
        <v>62</v>
      </c>
      <c r="B18" s="13" t="s">
        <v>63</v>
      </c>
      <c r="C18" s="14" t="s">
        <v>19</v>
      </c>
      <c r="D18" s="14">
        <v>395.9</v>
      </c>
      <c r="E18" s="30">
        <v>13.55</v>
      </c>
      <c r="F18" s="18">
        <f t="shared" si="2"/>
        <v>5364.4449999999997</v>
      </c>
      <c r="G18" s="110" t="s">
        <v>57</v>
      </c>
      <c r="H18" s="111" t="s">
        <v>58</v>
      </c>
      <c r="I18" s="10"/>
    </row>
    <row r="19" spans="1:9">
      <c r="A19" s="12" t="s">
        <v>64</v>
      </c>
      <c r="B19" s="13" t="s">
        <v>65</v>
      </c>
      <c r="C19" s="14"/>
      <c r="D19" s="14"/>
      <c r="E19" s="10"/>
      <c r="F19" s="18"/>
      <c r="G19" s="96"/>
      <c r="H19" s="97"/>
      <c r="I19" s="10"/>
    </row>
    <row r="20" spans="1:9" ht="60" customHeight="1">
      <c r="A20" s="12" t="s">
        <v>66</v>
      </c>
      <c r="B20" s="13" t="s">
        <v>67</v>
      </c>
      <c r="C20" s="14" t="s">
        <v>19</v>
      </c>
      <c r="D20" s="17">
        <v>315</v>
      </c>
      <c r="E20" s="10">
        <v>41.52</v>
      </c>
      <c r="F20" s="18">
        <f t="shared" ref="F20:F24" si="3">E20*D20</f>
        <v>13078.800000000001</v>
      </c>
      <c r="G20" s="112" t="s">
        <v>68</v>
      </c>
      <c r="H20" s="106" t="s">
        <v>69</v>
      </c>
      <c r="I20" s="10"/>
    </row>
    <row r="21" spans="1:9" ht="87" customHeight="1">
      <c r="A21" s="12" t="s">
        <v>70</v>
      </c>
      <c r="B21" s="13" t="s">
        <v>71</v>
      </c>
      <c r="C21" s="14" t="s">
        <v>72</v>
      </c>
      <c r="D21" s="14">
        <v>140</v>
      </c>
      <c r="E21" s="10">
        <v>27.58</v>
      </c>
      <c r="F21" s="18">
        <f t="shared" si="3"/>
        <v>3861.2</v>
      </c>
      <c r="G21" s="113" t="s">
        <v>73</v>
      </c>
      <c r="H21" s="114" t="s">
        <v>74</v>
      </c>
      <c r="I21" s="75"/>
    </row>
    <row r="22" spans="1:9">
      <c r="A22" s="12" t="s">
        <v>75</v>
      </c>
      <c r="B22" s="13" t="s">
        <v>76</v>
      </c>
      <c r="C22" s="14"/>
      <c r="D22" s="14"/>
      <c r="E22" s="10"/>
      <c r="F22" s="18"/>
      <c r="G22" s="96"/>
      <c r="H22" s="97"/>
      <c r="I22" s="75"/>
    </row>
    <row r="23" spans="1:9" ht="66" customHeight="1">
      <c r="A23" s="12" t="s">
        <v>77</v>
      </c>
      <c r="B23" s="13" t="s">
        <v>78</v>
      </c>
      <c r="C23" s="14" t="s">
        <v>19</v>
      </c>
      <c r="D23" s="17">
        <f>99+30+342+81</f>
        <v>552</v>
      </c>
      <c r="E23" s="10">
        <v>41.52</v>
      </c>
      <c r="F23" s="18">
        <f t="shared" si="3"/>
        <v>22919.040000000001</v>
      </c>
      <c r="G23" s="115" t="s">
        <v>79</v>
      </c>
      <c r="H23" s="115" t="s">
        <v>80</v>
      </c>
      <c r="I23" s="75"/>
    </row>
    <row r="24" spans="1:9" ht="80.099999999999994" customHeight="1">
      <c r="A24" s="12" t="s">
        <v>81</v>
      </c>
      <c r="B24" s="13" t="s">
        <v>82</v>
      </c>
      <c r="C24" s="14" t="s">
        <v>19</v>
      </c>
      <c r="D24" s="17">
        <v>3611</v>
      </c>
      <c r="E24" s="10">
        <v>41.52</v>
      </c>
      <c r="F24" s="18">
        <f t="shared" si="3"/>
        <v>149928.72</v>
      </c>
      <c r="G24" s="115" t="s">
        <v>83</v>
      </c>
      <c r="H24" s="115" t="s">
        <v>80</v>
      </c>
      <c r="I24" s="75"/>
    </row>
    <row r="25" spans="1:9">
      <c r="A25" s="12" t="s">
        <v>84</v>
      </c>
      <c r="B25" s="13" t="s">
        <v>85</v>
      </c>
      <c r="C25" s="14"/>
      <c r="D25" s="14"/>
      <c r="E25" s="10"/>
      <c r="F25" s="18"/>
      <c r="G25" s="96"/>
      <c r="H25" s="97"/>
      <c r="I25" s="75"/>
    </row>
    <row r="26" spans="1:9" ht="90" customHeight="1">
      <c r="A26" s="12" t="s">
        <v>86</v>
      </c>
      <c r="B26" s="13" t="s">
        <v>87</v>
      </c>
      <c r="C26" s="14" t="s">
        <v>88</v>
      </c>
      <c r="D26" s="14">
        <v>26210</v>
      </c>
      <c r="E26" s="10">
        <v>1</v>
      </c>
      <c r="F26" s="18">
        <f t="shared" ref="F26:F32" si="4">E26*D26</f>
        <v>26210</v>
      </c>
      <c r="G26" s="116" t="s">
        <v>89</v>
      </c>
      <c r="H26" s="117" t="s">
        <v>90</v>
      </c>
      <c r="I26" s="75"/>
    </row>
    <row r="27" spans="1:9">
      <c r="A27" s="12" t="s">
        <v>94</v>
      </c>
      <c r="B27" s="13" t="s">
        <v>95</v>
      </c>
      <c r="C27" s="14"/>
      <c r="D27" s="14"/>
      <c r="E27" s="10"/>
      <c r="F27" s="18"/>
      <c r="G27" s="96"/>
      <c r="H27" s="97"/>
      <c r="I27" s="75"/>
    </row>
    <row r="28" spans="1:9" ht="91.5" customHeight="1">
      <c r="A28" s="12" t="s">
        <v>17</v>
      </c>
      <c r="B28" s="13" t="s">
        <v>96</v>
      </c>
      <c r="C28" s="14" t="s">
        <v>19</v>
      </c>
      <c r="D28" s="14">
        <f>3980*0.72</f>
        <v>2865.6</v>
      </c>
      <c r="E28" s="10">
        <v>345.13</v>
      </c>
      <c r="F28" s="18">
        <f t="shared" si="4"/>
        <v>989004.52799999993</v>
      </c>
      <c r="G28" s="100" t="s">
        <v>97</v>
      </c>
      <c r="H28" s="100" t="s">
        <v>98</v>
      </c>
      <c r="I28" s="76"/>
    </row>
    <row r="29" spans="1:9" ht="81" customHeight="1">
      <c r="A29" s="39" t="s">
        <v>99</v>
      </c>
      <c r="B29" s="40" t="s">
        <v>100</v>
      </c>
      <c r="C29" s="40" t="s">
        <v>101</v>
      </c>
      <c r="D29" s="40">
        <f>300*0.5</f>
        <v>150</v>
      </c>
      <c r="E29" s="40">
        <v>371.96</v>
      </c>
      <c r="F29" s="18">
        <f t="shared" si="4"/>
        <v>55794</v>
      </c>
      <c r="G29" s="100" t="s">
        <v>97</v>
      </c>
      <c r="H29" s="118" t="s">
        <v>102</v>
      </c>
      <c r="I29" s="25"/>
    </row>
    <row r="30" spans="1:9" ht="67.5" customHeight="1">
      <c r="A30" s="39" t="s">
        <v>21</v>
      </c>
      <c r="B30" s="40" t="s">
        <v>103</v>
      </c>
      <c r="C30" s="40" t="s">
        <v>101</v>
      </c>
      <c r="D30" s="40">
        <v>100</v>
      </c>
      <c r="E30" s="25">
        <v>371.96</v>
      </c>
      <c r="F30" s="18">
        <f t="shared" si="4"/>
        <v>37196</v>
      </c>
      <c r="G30" s="100" t="s">
        <v>97</v>
      </c>
      <c r="H30" s="118" t="s">
        <v>102</v>
      </c>
      <c r="I30" s="77"/>
    </row>
    <row r="31" spans="1:9" ht="99" customHeight="1">
      <c r="A31" s="39" t="s">
        <v>104</v>
      </c>
      <c r="B31" s="42" t="s">
        <v>105</v>
      </c>
      <c r="C31" s="42" t="s">
        <v>72</v>
      </c>
      <c r="D31" s="40">
        <v>1550</v>
      </c>
      <c r="E31" s="25">
        <v>537.55999999999995</v>
      </c>
      <c r="F31" s="18">
        <f t="shared" si="4"/>
        <v>833217.99999999988</v>
      </c>
      <c r="G31" s="114" t="s">
        <v>106</v>
      </c>
      <c r="H31" s="114" t="s">
        <v>107</v>
      </c>
      <c r="I31" s="77"/>
    </row>
    <row r="32" spans="1:9" ht="43.5" customHeight="1">
      <c r="A32" s="39" t="s">
        <v>108</v>
      </c>
      <c r="B32" s="40" t="s">
        <v>109</v>
      </c>
      <c r="C32" s="40" t="s">
        <v>19</v>
      </c>
      <c r="D32" s="40">
        <v>144</v>
      </c>
      <c r="E32" s="25">
        <v>140.04</v>
      </c>
      <c r="F32" s="18">
        <f t="shared" si="4"/>
        <v>20165.759999999998</v>
      </c>
      <c r="G32" s="119" t="s">
        <v>110</v>
      </c>
      <c r="H32" s="114" t="s">
        <v>74</v>
      </c>
      <c r="I32" s="77"/>
    </row>
    <row r="33" spans="1:9" ht="20.100000000000001" customHeight="1">
      <c r="A33" s="39" t="s">
        <v>111</v>
      </c>
      <c r="B33" s="40" t="s">
        <v>112</v>
      </c>
      <c r="C33" s="40"/>
      <c r="D33" s="40"/>
      <c r="E33" s="25"/>
      <c r="F33" s="18"/>
      <c r="G33" s="105"/>
      <c r="H33" s="106"/>
      <c r="I33" s="77"/>
    </row>
    <row r="34" spans="1:9" ht="20.100000000000001" customHeight="1">
      <c r="A34" s="39" t="s">
        <v>113</v>
      </c>
      <c r="B34" s="40" t="s">
        <v>114</v>
      </c>
      <c r="C34" s="40"/>
      <c r="D34" s="40"/>
      <c r="E34" s="25"/>
      <c r="F34" s="18"/>
      <c r="G34" s="105"/>
      <c r="H34" s="106"/>
      <c r="I34" s="77"/>
    </row>
    <row r="35" spans="1:9" ht="73.5" customHeight="1">
      <c r="A35" s="39" t="s">
        <v>115</v>
      </c>
      <c r="B35" s="40" t="s">
        <v>116</v>
      </c>
      <c r="C35" s="40" t="s">
        <v>19</v>
      </c>
      <c r="D35" s="40">
        <v>50</v>
      </c>
      <c r="E35" s="25">
        <v>549.26</v>
      </c>
      <c r="F35" s="18">
        <f>E35*D35</f>
        <v>27463</v>
      </c>
      <c r="G35" s="99" t="s">
        <v>117</v>
      </c>
      <c r="H35" s="99" t="s">
        <v>118</v>
      </c>
      <c r="I35" s="77"/>
    </row>
    <row r="36" spans="1:9" ht="72" customHeight="1">
      <c r="A36" s="39" t="s">
        <v>119</v>
      </c>
      <c r="B36" s="40" t="s">
        <v>114</v>
      </c>
      <c r="C36" s="40" t="s">
        <v>19</v>
      </c>
      <c r="D36" s="40">
        <v>991.5</v>
      </c>
      <c r="E36" s="25">
        <v>335.34</v>
      </c>
      <c r="F36" s="18">
        <f>E36*D36</f>
        <v>332489.61</v>
      </c>
      <c r="G36" s="114" t="s">
        <v>120</v>
      </c>
      <c r="H36" s="114" t="s">
        <v>121</v>
      </c>
      <c r="I36" s="77"/>
    </row>
    <row r="37" spans="1:9" ht="17.100000000000001" customHeight="1">
      <c r="A37" s="44" t="s">
        <v>122</v>
      </c>
      <c r="B37" s="45" t="s">
        <v>123</v>
      </c>
      <c r="C37" s="45"/>
      <c r="D37" s="45"/>
      <c r="E37" s="45"/>
      <c r="F37" s="18"/>
      <c r="G37" s="120"/>
      <c r="H37" s="118"/>
      <c r="I37" s="77"/>
    </row>
    <row r="38" spans="1:9" ht="96" customHeight="1">
      <c r="A38" s="44" t="s">
        <v>99</v>
      </c>
      <c r="B38" s="45" t="s">
        <v>124</v>
      </c>
      <c r="C38" s="45" t="s">
        <v>19</v>
      </c>
      <c r="D38" s="45">
        <f>636-190.8</f>
        <v>445.2</v>
      </c>
      <c r="E38" s="45">
        <v>372.89</v>
      </c>
      <c r="F38" s="18">
        <f>E38*D38</f>
        <v>166010.628</v>
      </c>
      <c r="G38" s="120" t="s">
        <v>125</v>
      </c>
      <c r="H38" s="118" t="s">
        <v>126</v>
      </c>
      <c r="I38" s="77"/>
    </row>
    <row r="39" spans="1:9" ht="96" customHeight="1">
      <c r="A39" s="44" t="s">
        <v>77</v>
      </c>
      <c r="B39" s="45" t="s">
        <v>127</v>
      </c>
      <c r="C39" s="45" t="s">
        <v>19</v>
      </c>
      <c r="D39" s="45">
        <f>D38*0.3</f>
        <v>133.56</v>
      </c>
      <c r="E39" s="45">
        <v>313.76</v>
      </c>
      <c r="F39" s="18">
        <f>E39*D39</f>
        <v>41905.785600000003</v>
      </c>
      <c r="G39" s="120" t="s">
        <v>128</v>
      </c>
      <c r="H39" s="118" t="s">
        <v>129</v>
      </c>
      <c r="I39" s="77"/>
    </row>
    <row r="40" spans="1:9" ht="17.100000000000001" customHeight="1">
      <c r="A40" s="44" t="s">
        <v>130</v>
      </c>
      <c r="B40" s="45" t="s">
        <v>131</v>
      </c>
      <c r="C40" s="45"/>
      <c r="D40" s="45"/>
      <c r="E40" s="45"/>
      <c r="F40" s="18"/>
      <c r="G40" s="120"/>
      <c r="H40" s="118"/>
      <c r="I40" s="77"/>
    </row>
    <row r="41" spans="1:9" ht="96" customHeight="1">
      <c r="A41" s="44" t="s">
        <v>99</v>
      </c>
      <c r="B41" s="45" t="s">
        <v>124</v>
      </c>
      <c r="C41" s="45" t="s">
        <v>19</v>
      </c>
      <c r="D41" s="45">
        <v>149.30000000000001</v>
      </c>
      <c r="E41" s="45">
        <v>333.32</v>
      </c>
      <c r="F41" s="18">
        <f t="shared" ref="F41:F51" si="5">E41*D41</f>
        <v>49764.675999999999</v>
      </c>
      <c r="G41" s="120" t="s">
        <v>132</v>
      </c>
      <c r="H41" s="118" t="s">
        <v>102</v>
      </c>
      <c r="I41" s="77"/>
    </row>
    <row r="42" spans="1:9" ht="24" customHeight="1">
      <c r="A42" s="46" t="s">
        <v>133</v>
      </c>
      <c r="B42" s="47" t="s">
        <v>134</v>
      </c>
      <c r="C42" s="48"/>
      <c r="D42" s="49"/>
      <c r="E42" s="10"/>
      <c r="F42" s="18"/>
      <c r="G42" s="96"/>
      <c r="H42" s="97"/>
      <c r="I42" s="75"/>
    </row>
    <row r="43" spans="1:9" ht="20.100000000000001" customHeight="1">
      <c r="A43" s="46" t="s">
        <v>99</v>
      </c>
      <c r="B43" s="50" t="s">
        <v>135</v>
      </c>
      <c r="C43" s="48"/>
      <c r="D43" s="49"/>
      <c r="E43" s="10"/>
      <c r="F43" s="18"/>
      <c r="G43" s="98"/>
      <c r="H43" s="121"/>
      <c r="I43" s="75"/>
    </row>
    <row r="44" spans="1:9" ht="106.5" customHeight="1">
      <c r="A44" s="46" t="s">
        <v>136</v>
      </c>
      <c r="B44" s="50" t="s">
        <v>137</v>
      </c>
      <c r="C44" s="48" t="s">
        <v>19</v>
      </c>
      <c r="D44" s="49">
        <v>1348.3</v>
      </c>
      <c r="E44" s="10">
        <v>9.58</v>
      </c>
      <c r="F44" s="18">
        <f t="shared" si="5"/>
        <v>12916.714</v>
      </c>
      <c r="G44" s="122" t="s">
        <v>138</v>
      </c>
      <c r="H44" s="123" t="s">
        <v>139</v>
      </c>
      <c r="I44" s="78"/>
    </row>
    <row r="45" spans="1:9" ht="75" customHeight="1">
      <c r="A45" s="46" t="s">
        <v>140</v>
      </c>
      <c r="B45" s="54" t="s">
        <v>141</v>
      </c>
      <c r="C45" s="48" t="s">
        <v>72</v>
      </c>
      <c r="D45" s="55">
        <v>113</v>
      </c>
      <c r="E45" s="10">
        <v>99.61</v>
      </c>
      <c r="F45" s="18">
        <f t="shared" si="5"/>
        <v>11255.93</v>
      </c>
      <c r="G45" s="124" t="s">
        <v>142</v>
      </c>
      <c r="H45" s="125" t="s">
        <v>143</v>
      </c>
      <c r="I45" s="78"/>
    </row>
    <row r="46" spans="1:9" ht="57" customHeight="1">
      <c r="A46" s="46" t="s">
        <v>147</v>
      </c>
      <c r="B46" s="50" t="s">
        <v>148</v>
      </c>
      <c r="C46" s="48" t="s">
        <v>19</v>
      </c>
      <c r="D46" s="55">
        <v>420.3</v>
      </c>
      <c r="E46" s="10">
        <v>128.94</v>
      </c>
      <c r="F46" s="18">
        <f t="shared" si="5"/>
        <v>54193.482000000004</v>
      </c>
      <c r="G46" s="126" t="s">
        <v>149</v>
      </c>
      <c r="H46" s="127" t="s">
        <v>150</v>
      </c>
      <c r="I46" s="78"/>
    </row>
    <row r="47" spans="1:9" ht="57.95" customHeight="1">
      <c r="A47" s="46" t="s">
        <v>151</v>
      </c>
      <c r="B47" s="54" t="s">
        <v>152</v>
      </c>
      <c r="C47" s="48" t="s">
        <v>19</v>
      </c>
      <c r="D47" s="55">
        <f>71.8+60.7+74.1+31.7</f>
        <v>238.29999999999998</v>
      </c>
      <c r="E47" s="10">
        <v>142.51</v>
      </c>
      <c r="F47" s="18">
        <f t="shared" si="5"/>
        <v>33960.132999999994</v>
      </c>
      <c r="G47" s="128" t="s">
        <v>153</v>
      </c>
      <c r="H47" s="129" t="s">
        <v>154</v>
      </c>
      <c r="I47" s="78"/>
    </row>
    <row r="48" spans="1:9" ht="70.5" customHeight="1">
      <c r="A48" s="46" t="s">
        <v>155</v>
      </c>
      <c r="B48" s="54" t="s">
        <v>156</v>
      </c>
      <c r="C48" s="48" t="s">
        <v>19</v>
      </c>
      <c r="D48" s="55">
        <f>265.9-D51-D47</f>
        <v>25.200000000000017</v>
      </c>
      <c r="E48" s="10">
        <v>354.69</v>
      </c>
      <c r="F48" s="18">
        <f t="shared" si="5"/>
        <v>8938.1880000000056</v>
      </c>
      <c r="G48" s="130" t="s">
        <v>157</v>
      </c>
      <c r="H48" s="131" t="s">
        <v>158</v>
      </c>
      <c r="I48" s="78"/>
    </row>
    <row r="49" spans="1:9" ht="69.75" customHeight="1">
      <c r="A49" s="46" t="s">
        <v>159</v>
      </c>
      <c r="B49" s="54" t="s">
        <v>160</v>
      </c>
      <c r="C49" s="48" t="s">
        <v>19</v>
      </c>
      <c r="D49" s="55">
        <v>98.7</v>
      </c>
      <c r="E49" s="10">
        <v>223.01</v>
      </c>
      <c r="F49" s="18">
        <f t="shared" si="5"/>
        <v>22011.087</v>
      </c>
      <c r="G49" s="99" t="s">
        <v>161</v>
      </c>
      <c r="H49" s="99" t="s">
        <v>162</v>
      </c>
      <c r="I49" s="78"/>
    </row>
    <row r="50" spans="1:9" ht="99.95" customHeight="1">
      <c r="A50" s="46" t="s">
        <v>163</v>
      </c>
      <c r="B50" s="50" t="s">
        <v>164</v>
      </c>
      <c r="C50" s="48" t="s">
        <v>165</v>
      </c>
      <c r="D50" s="55">
        <v>13283</v>
      </c>
      <c r="E50" s="10">
        <v>0.86</v>
      </c>
      <c r="F50" s="18">
        <f t="shared" si="5"/>
        <v>11423.38</v>
      </c>
      <c r="G50" s="122" t="s">
        <v>166</v>
      </c>
      <c r="H50" s="132" t="s">
        <v>167</v>
      </c>
      <c r="I50" s="78"/>
    </row>
    <row r="51" spans="1:9" ht="60.95" customHeight="1">
      <c r="A51" s="46" t="s">
        <v>168</v>
      </c>
      <c r="B51" s="54" t="s">
        <v>169</v>
      </c>
      <c r="C51" s="48" t="s">
        <v>19</v>
      </c>
      <c r="D51" s="55">
        <f>4*0.6</f>
        <v>2.4</v>
      </c>
      <c r="E51" s="10">
        <v>354.69</v>
      </c>
      <c r="F51" s="18">
        <f t="shared" si="5"/>
        <v>851.25599999999997</v>
      </c>
      <c r="G51" s="133" t="s">
        <v>170</v>
      </c>
      <c r="H51" s="134" t="s">
        <v>154</v>
      </c>
      <c r="I51" s="78"/>
    </row>
    <row r="52" spans="1:9" ht="24">
      <c r="A52" s="46" t="s">
        <v>171</v>
      </c>
      <c r="B52" s="67" t="s">
        <v>172</v>
      </c>
      <c r="C52" s="48"/>
      <c r="D52" s="49"/>
      <c r="E52" s="10"/>
      <c r="F52" s="18"/>
      <c r="G52" s="96"/>
      <c r="H52" s="121"/>
      <c r="I52" s="75"/>
    </row>
    <row r="53" spans="1:9" ht="95.25" customHeight="1">
      <c r="A53" s="68" t="s">
        <v>136</v>
      </c>
      <c r="B53" s="69" t="s">
        <v>173</v>
      </c>
      <c r="C53" s="70" t="s">
        <v>19</v>
      </c>
      <c r="D53" s="71">
        <f>266.9+378.1+311.4</f>
        <v>956.4</v>
      </c>
      <c r="E53" s="45">
        <v>9.58</v>
      </c>
      <c r="F53" s="18">
        <f t="shared" ref="F53:F59" si="6">E53*D53</f>
        <v>9162.3119999999999</v>
      </c>
      <c r="G53" s="122" t="s">
        <v>138</v>
      </c>
      <c r="H53" s="123" t="s">
        <v>139</v>
      </c>
      <c r="I53" s="75"/>
    </row>
    <row r="54" spans="1:9" ht="60" customHeight="1">
      <c r="A54" s="72" t="s">
        <v>140</v>
      </c>
      <c r="B54" s="50" t="s">
        <v>148</v>
      </c>
      <c r="C54" s="48" t="s">
        <v>19</v>
      </c>
      <c r="D54" s="55">
        <v>2253.8000000000002</v>
      </c>
      <c r="E54" s="10">
        <v>128.94</v>
      </c>
      <c r="F54" s="18">
        <f t="shared" si="6"/>
        <v>290604.97200000001</v>
      </c>
      <c r="G54" s="135" t="s">
        <v>174</v>
      </c>
      <c r="H54" s="127" t="s">
        <v>146</v>
      </c>
      <c r="I54" s="78"/>
    </row>
    <row r="55" spans="1:9" ht="61.5" customHeight="1">
      <c r="A55" s="46" t="s">
        <v>144</v>
      </c>
      <c r="B55" s="54" t="s">
        <v>175</v>
      </c>
      <c r="C55" s="48" t="s">
        <v>19</v>
      </c>
      <c r="D55" s="55">
        <v>65.8</v>
      </c>
      <c r="E55" s="10">
        <v>156.76</v>
      </c>
      <c r="F55" s="18">
        <f t="shared" si="6"/>
        <v>10314.807999999999</v>
      </c>
      <c r="G55" s="128" t="s">
        <v>153</v>
      </c>
      <c r="H55" s="129" t="s">
        <v>154</v>
      </c>
      <c r="I55" s="75"/>
    </row>
    <row r="56" spans="1:9" ht="68.25" customHeight="1">
      <c r="A56" s="46" t="s">
        <v>147</v>
      </c>
      <c r="B56" s="54" t="s">
        <v>176</v>
      </c>
      <c r="C56" s="48" t="s">
        <v>19</v>
      </c>
      <c r="D56" s="55">
        <v>210.3</v>
      </c>
      <c r="E56" s="10">
        <v>390.16</v>
      </c>
      <c r="F56" s="18">
        <f t="shared" si="6"/>
        <v>82050.648000000016</v>
      </c>
      <c r="G56" s="130" t="s">
        <v>157</v>
      </c>
      <c r="H56" s="131" t="s">
        <v>158</v>
      </c>
      <c r="I56" s="75"/>
    </row>
    <row r="57" spans="1:9" ht="54.75" customHeight="1">
      <c r="A57" s="46" t="s">
        <v>151</v>
      </c>
      <c r="B57" s="54" t="s">
        <v>169</v>
      </c>
      <c r="C57" s="48" t="s">
        <v>19</v>
      </c>
      <c r="D57" s="55">
        <v>3</v>
      </c>
      <c r="E57" s="10">
        <v>354.69</v>
      </c>
      <c r="F57" s="18">
        <f t="shared" si="6"/>
        <v>1064.07</v>
      </c>
      <c r="G57" s="133" t="s">
        <v>170</v>
      </c>
      <c r="H57" s="134" t="s">
        <v>154</v>
      </c>
      <c r="I57" s="75"/>
    </row>
    <row r="58" spans="1:9" ht="69.75" customHeight="1">
      <c r="A58" s="46" t="s">
        <v>155</v>
      </c>
      <c r="B58" s="54" t="s">
        <v>160</v>
      </c>
      <c r="C58" s="48" t="s">
        <v>19</v>
      </c>
      <c r="D58" s="55">
        <v>139.80000000000001</v>
      </c>
      <c r="E58" s="10">
        <v>223.01</v>
      </c>
      <c r="F58" s="18">
        <f t="shared" si="6"/>
        <v>31176.798000000003</v>
      </c>
      <c r="G58" s="99" t="s">
        <v>161</v>
      </c>
      <c r="H58" s="99" t="s">
        <v>162</v>
      </c>
      <c r="I58" s="75"/>
    </row>
    <row r="59" spans="1:9" ht="96" customHeight="1">
      <c r="A59" s="46" t="s">
        <v>159</v>
      </c>
      <c r="B59" s="50" t="s">
        <v>164</v>
      </c>
      <c r="C59" s="48" t="s">
        <v>165</v>
      </c>
      <c r="D59" s="49">
        <v>37493</v>
      </c>
      <c r="E59" s="10">
        <v>0.86</v>
      </c>
      <c r="F59" s="18">
        <f t="shared" si="6"/>
        <v>32243.98</v>
      </c>
      <c r="G59" s="122" t="s">
        <v>166</v>
      </c>
      <c r="H59" s="132" t="s">
        <v>167</v>
      </c>
      <c r="I59" s="75"/>
    </row>
    <row r="60" spans="1:9" ht="20.100000000000001" customHeight="1">
      <c r="A60" s="46" t="s">
        <v>177</v>
      </c>
      <c r="B60" s="47" t="s">
        <v>178</v>
      </c>
      <c r="C60" s="48"/>
      <c r="D60" s="49"/>
      <c r="E60" s="10"/>
      <c r="F60" s="18"/>
      <c r="G60" s="96"/>
      <c r="H60" s="97"/>
      <c r="I60" s="75"/>
    </row>
    <row r="61" spans="1:9" ht="20.100000000000001" customHeight="1">
      <c r="A61" s="46" t="s">
        <v>99</v>
      </c>
      <c r="B61" s="50" t="s">
        <v>179</v>
      </c>
      <c r="C61" s="48"/>
      <c r="D61" s="49"/>
      <c r="E61" s="10"/>
      <c r="F61" s="18"/>
      <c r="G61" s="98"/>
      <c r="H61" s="121"/>
      <c r="I61" s="75"/>
    </row>
    <row r="62" spans="1:9" ht="102" customHeight="1">
      <c r="A62" s="46" t="s">
        <v>136</v>
      </c>
      <c r="B62" s="50" t="s">
        <v>137</v>
      </c>
      <c r="C62" s="48" t="s">
        <v>19</v>
      </c>
      <c r="D62" s="49">
        <f>10.5*356.5+2*3.3*456.2+1.6*2.35*193.3+887.2*4*1.5</f>
        <v>12804.178</v>
      </c>
      <c r="E62" s="10">
        <v>16.86</v>
      </c>
      <c r="F62" s="18">
        <f t="shared" ref="F62:F68" si="7">E62*D62</f>
        <v>215878.44107999999</v>
      </c>
      <c r="G62" s="122" t="s">
        <v>180</v>
      </c>
      <c r="H62" s="123" t="s">
        <v>181</v>
      </c>
      <c r="I62" s="78"/>
    </row>
    <row r="63" spans="1:9" ht="74.25" customHeight="1">
      <c r="A63" s="46" t="s">
        <v>140</v>
      </c>
      <c r="B63" s="54" t="s">
        <v>182</v>
      </c>
      <c r="C63" s="48" t="s">
        <v>72</v>
      </c>
      <c r="D63" s="55">
        <f>40+60.1+52.4+52.4+52.4+55.8+43.4</f>
        <v>356.5</v>
      </c>
      <c r="E63" s="10">
        <v>95.92</v>
      </c>
      <c r="F63" s="18">
        <f t="shared" si="7"/>
        <v>34195.480000000003</v>
      </c>
      <c r="G63" s="124" t="s">
        <v>142</v>
      </c>
      <c r="H63" s="125" t="s">
        <v>143</v>
      </c>
      <c r="I63" s="78"/>
    </row>
    <row r="64" spans="1:9" ht="74.25" customHeight="1">
      <c r="A64" s="46" t="s">
        <v>144</v>
      </c>
      <c r="B64" s="54" t="s">
        <v>183</v>
      </c>
      <c r="C64" s="48" t="s">
        <v>72</v>
      </c>
      <c r="D64" s="55">
        <f>38.9+25.9+38.6+30.2+42.2+50+50+51.6+42.4+40.8+45.6</f>
        <v>456.20000000000005</v>
      </c>
      <c r="E64" s="10">
        <v>71.94</v>
      </c>
      <c r="F64" s="18">
        <f t="shared" si="7"/>
        <v>32819.028000000006</v>
      </c>
      <c r="G64" s="124" t="s">
        <v>142</v>
      </c>
      <c r="H64" s="125" t="s">
        <v>143</v>
      </c>
      <c r="I64" s="78"/>
    </row>
    <row r="65" spans="1:9" ht="53.1" customHeight="1">
      <c r="A65" s="46" t="s">
        <v>147</v>
      </c>
      <c r="B65" s="54" t="s">
        <v>184</v>
      </c>
      <c r="C65" s="48" t="s">
        <v>72</v>
      </c>
      <c r="D65" s="55">
        <f>25.3+7*24</f>
        <v>193.3</v>
      </c>
      <c r="E65" s="10">
        <v>120</v>
      </c>
      <c r="F65" s="18">
        <f t="shared" si="7"/>
        <v>23196</v>
      </c>
      <c r="G65" s="124" t="s">
        <v>185</v>
      </c>
      <c r="H65" s="125" t="s">
        <v>186</v>
      </c>
      <c r="I65" s="78"/>
    </row>
    <row r="66" spans="1:9" ht="66.95" customHeight="1">
      <c r="A66" s="46" t="s">
        <v>151</v>
      </c>
      <c r="B66" s="54" t="s">
        <v>187</v>
      </c>
      <c r="C66" s="48" t="s">
        <v>72</v>
      </c>
      <c r="D66" s="55">
        <f>20+30+40+39.4+37.9+37.9+37.9+38.1+40+39.3+39.7+39.9+38.8+30.5+32.7+39.7+40+40+39.9+40+30+30.4+30+30+40+30+40+35.4+26.6+31.1+40+40+40-483.5</f>
        <v>701.69999999999982</v>
      </c>
      <c r="E66" s="10">
        <v>52</v>
      </c>
      <c r="F66" s="18">
        <f t="shared" si="7"/>
        <v>36488.399999999994</v>
      </c>
      <c r="G66" s="124" t="s">
        <v>185</v>
      </c>
      <c r="H66" s="125" t="s">
        <v>186</v>
      </c>
      <c r="I66" s="78"/>
    </row>
    <row r="67" spans="1:9" ht="66" customHeight="1">
      <c r="A67" s="46" t="s">
        <v>155</v>
      </c>
      <c r="B67" s="54" t="s">
        <v>188</v>
      </c>
      <c r="C67" s="48" t="s">
        <v>72</v>
      </c>
      <c r="D67" s="55">
        <f>37.7+37.5+34.7+41.8+33.8</f>
        <v>185.5</v>
      </c>
      <c r="E67" s="10">
        <v>80</v>
      </c>
      <c r="F67" s="18">
        <f t="shared" si="7"/>
        <v>14840</v>
      </c>
      <c r="G67" s="124" t="s">
        <v>185</v>
      </c>
      <c r="H67" s="125" t="s">
        <v>186</v>
      </c>
      <c r="I67" s="78"/>
    </row>
    <row r="68" spans="1:9" ht="60" customHeight="1">
      <c r="A68" s="46" t="s">
        <v>159</v>
      </c>
      <c r="B68" s="54" t="s">
        <v>189</v>
      </c>
      <c r="C68" s="48" t="s">
        <v>72</v>
      </c>
      <c r="D68" s="55">
        <f>25.3+7*24</f>
        <v>193.3</v>
      </c>
      <c r="E68" s="10">
        <v>32</v>
      </c>
      <c r="F68" s="18">
        <f t="shared" si="7"/>
        <v>6185.6</v>
      </c>
      <c r="G68" s="124" t="s">
        <v>185</v>
      </c>
      <c r="H68" s="125" t="s">
        <v>186</v>
      </c>
      <c r="I68" s="78"/>
    </row>
    <row r="69" spans="1:9" ht="59.25" customHeight="1">
      <c r="A69" s="46" t="s">
        <v>163</v>
      </c>
      <c r="B69" s="50" t="s">
        <v>190</v>
      </c>
      <c r="C69" s="48" t="s">
        <v>19</v>
      </c>
      <c r="D69" s="55">
        <f>ROUND((0.15+0.2+1+0.5)*1.4*356.5+(0.16+0.15+0.8+0.5)*1.2*456.2+(0.15+0.05+0.6+0.5)*1*193.3,0)</f>
        <v>2056</v>
      </c>
      <c r="E69" s="10">
        <v>100</v>
      </c>
      <c r="F69" s="18">
        <f t="shared" ref="F69:F75" si="8">E69*D69</f>
        <v>205600</v>
      </c>
      <c r="G69" s="135" t="s">
        <v>191</v>
      </c>
      <c r="H69" s="127" t="s">
        <v>192</v>
      </c>
      <c r="I69" s="78"/>
    </row>
    <row r="70" spans="1:9" ht="68.099999999999994" customHeight="1">
      <c r="A70" s="46" t="s">
        <v>168</v>
      </c>
      <c r="B70" s="54" t="s">
        <v>175</v>
      </c>
      <c r="C70" s="48" t="s">
        <v>19</v>
      </c>
      <c r="D70" s="55">
        <f>ROUND((0.2+0.5)*1.6*356.5+(0.16+0.5)*1.28*456.2,0)</f>
        <v>785</v>
      </c>
      <c r="E70" s="10">
        <v>142.51</v>
      </c>
      <c r="F70" s="18">
        <f t="shared" si="8"/>
        <v>111870.34999999999</v>
      </c>
      <c r="G70" s="128" t="s">
        <v>153</v>
      </c>
      <c r="H70" s="129" t="s">
        <v>154</v>
      </c>
      <c r="I70" s="75"/>
    </row>
    <row r="71" spans="1:9" ht="20.100000000000001" customHeight="1">
      <c r="A71" s="79" t="s">
        <v>77</v>
      </c>
      <c r="B71" s="50" t="s">
        <v>193</v>
      </c>
      <c r="C71" s="80" t="s">
        <v>194</v>
      </c>
      <c r="D71" s="55">
        <v>13</v>
      </c>
      <c r="E71" s="10"/>
      <c r="F71" s="18"/>
      <c r="G71" s="124"/>
      <c r="H71" s="125"/>
      <c r="I71" s="78"/>
    </row>
    <row r="72" spans="1:9" ht="71.25" customHeight="1">
      <c r="A72" s="79" t="s">
        <v>195</v>
      </c>
      <c r="B72" s="50" t="s">
        <v>196</v>
      </c>
      <c r="C72" s="48" t="s">
        <v>19</v>
      </c>
      <c r="D72" s="55">
        <f>0.67*13</f>
        <v>8.7100000000000009</v>
      </c>
      <c r="E72" s="10">
        <v>213.77</v>
      </c>
      <c r="F72" s="18">
        <f t="shared" si="8"/>
        <v>1861.9367000000002</v>
      </c>
      <c r="G72" s="128" t="s">
        <v>153</v>
      </c>
      <c r="H72" s="129" t="s">
        <v>154</v>
      </c>
      <c r="I72" s="78"/>
    </row>
    <row r="73" spans="1:9" ht="67.5" customHeight="1">
      <c r="A73" s="79" t="s">
        <v>197</v>
      </c>
      <c r="B73" s="54" t="s">
        <v>198</v>
      </c>
      <c r="C73" s="48" t="s">
        <v>19</v>
      </c>
      <c r="D73" s="55">
        <f>1.49*13</f>
        <v>19.37</v>
      </c>
      <c r="E73" s="10">
        <v>354.69</v>
      </c>
      <c r="F73" s="18">
        <f t="shared" si="8"/>
        <v>6870.3453</v>
      </c>
      <c r="G73" s="130" t="s">
        <v>199</v>
      </c>
      <c r="H73" s="131" t="s">
        <v>158</v>
      </c>
      <c r="I73" s="78"/>
    </row>
    <row r="74" spans="1:9" ht="78.75" customHeight="1">
      <c r="A74" s="79" t="s">
        <v>200</v>
      </c>
      <c r="B74" s="50" t="s">
        <v>201</v>
      </c>
      <c r="C74" s="80" t="s">
        <v>202</v>
      </c>
      <c r="D74" s="55">
        <v>13</v>
      </c>
      <c r="E74" s="10">
        <v>299.75</v>
      </c>
      <c r="F74" s="18">
        <f t="shared" si="8"/>
        <v>3896.75</v>
      </c>
      <c r="G74" s="136" t="s">
        <v>203</v>
      </c>
      <c r="H74" s="125" t="s">
        <v>204</v>
      </c>
      <c r="I74" s="78"/>
    </row>
    <row r="75" spans="1:9" ht="89.1" customHeight="1">
      <c r="A75" s="79" t="s">
        <v>205</v>
      </c>
      <c r="B75" s="50" t="s">
        <v>206</v>
      </c>
      <c r="C75" s="80" t="s">
        <v>165</v>
      </c>
      <c r="D75" s="55">
        <f>13*223.55</f>
        <v>2906.15</v>
      </c>
      <c r="E75" s="10">
        <v>0.86</v>
      </c>
      <c r="F75" s="18">
        <f t="shared" si="8"/>
        <v>2499.2890000000002</v>
      </c>
      <c r="G75" s="122" t="s">
        <v>166</v>
      </c>
      <c r="H75" s="132" t="s">
        <v>167</v>
      </c>
      <c r="I75" s="78"/>
    </row>
    <row r="76" spans="1:9" ht="18" customHeight="1">
      <c r="A76" s="79" t="s">
        <v>35</v>
      </c>
      <c r="B76" s="50" t="s">
        <v>207</v>
      </c>
      <c r="C76" s="80" t="s">
        <v>194</v>
      </c>
      <c r="D76" s="55">
        <v>3</v>
      </c>
      <c r="E76" s="10"/>
      <c r="F76" s="18"/>
      <c r="G76" s="124"/>
      <c r="H76" s="125"/>
      <c r="I76" s="78"/>
    </row>
    <row r="77" spans="1:9" ht="56.1" customHeight="1">
      <c r="A77" s="46" t="s">
        <v>208</v>
      </c>
      <c r="B77" s="50" t="s">
        <v>196</v>
      </c>
      <c r="C77" s="48" t="s">
        <v>19</v>
      </c>
      <c r="D77" s="55">
        <f>0.905*3</f>
        <v>2.7149999999999999</v>
      </c>
      <c r="E77" s="10">
        <v>213.77</v>
      </c>
      <c r="F77" s="18">
        <f>E77*D77</f>
        <v>580.38554999999997</v>
      </c>
      <c r="G77" s="128" t="s">
        <v>153</v>
      </c>
      <c r="H77" s="129" t="s">
        <v>154</v>
      </c>
      <c r="I77" s="78"/>
    </row>
    <row r="78" spans="1:9" ht="60.95" customHeight="1">
      <c r="A78" s="46" t="s">
        <v>209</v>
      </c>
      <c r="B78" s="54" t="s">
        <v>198</v>
      </c>
      <c r="C78" s="48" t="s">
        <v>19</v>
      </c>
      <c r="D78" s="55">
        <f>1.97*3</f>
        <v>5.91</v>
      </c>
      <c r="E78" s="10">
        <v>354.69</v>
      </c>
      <c r="F78" s="18">
        <f>E78*D78</f>
        <v>2096.2179000000001</v>
      </c>
      <c r="G78" s="130" t="s">
        <v>199</v>
      </c>
      <c r="H78" s="131" t="s">
        <v>158</v>
      </c>
      <c r="I78" s="78"/>
    </row>
    <row r="79" spans="1:9" ht="78.95" customHeight="1">
      <c r="A79" s="46" t="s">
        <v>210</v>
      </c>
      <c r="B79" s="50" t="s">
        <v>201</v>
      </c>
      <c r="C79" s="80" t="s">
        <v>202</v>
      </c>
      <c r="D79" s="55">
        <v>3</v>
      </c>
      <c r="E79" s="10">
        <v>299.75</v>
      </c>
      <c r="F79" s="18">
        <f t="shared" ref="F79:F85" si="9">E79*D79</f>
        <v>899.25</v>
      </c>
      <c r="G79" s="136" t="s">
        <v>203</v>
      </c>
      <c r="H79" s="125" t="s">
        <v>204</v>
      </c>
      <c r="I79" s="78"/>
    </row>
    <row r="80" spans="1:9" ht="114" customHeight="1">
      <c r="A80" s="46" t="s">
        <v>211</v>
      </c>
      <c r="B80" s="50" t="s">
        <v>206</v>
      </c>
      <c r="C80" s="80" t="s">
        <v>165</v>
      </c>
      <c r="D80" s="49">
        <f>3*288.24</f>
        <v>864.72</v>
      </c>
      <c r="E80" s="10">
        <v>0.86</v>
      </c>
      <c r="F80" s="18">
        <f t="shared" si="9"/>
        <v>743.65920000000006</v>
      </c>
      <c r="G80" s="122" t="s">
        <v>166</v>
      </c>
      <c r="H80" s="132" t="s">
        <v>167</v>
      </c>
      <c r="I80" s="78"/>
    </row>
    <row r="81" spans="1:9" ht="30" customHeight="1">
      <c r="A81" s="46" t="s">
        <v>84</v>
      </c>
      <c r="B81" s="50" t="s">
        <v>212</v>
      </c>
      <c r="C81" s="80" t="s">
        <v>194</v>
      </c>
      <c r="D81" s="55">
        <v>5</v>
      </c>
      <c r="E81" s="10"/>
      <c r="F81" s="18"/>
      <c r="G81" s="124"/>
      <c r="H81" s="125"/>
      <c r="I81" s="78"/>
    </row>
    <row r="82" spans="1:9" ht="58.5" customHeight="1">
      <c r="A82" s="46" t="s">
        <v>213</v>
      </c>
      <c r="B82" s="50" t="s">
        <v>196</v>
      </c>
      <c r="C82" s="48" t="s">
        <v>19</v>
      </c>
      <c r="D82" s="55">
        <f>1.14*5</f>
        <v>5.6999999999999993</v>
      </c>
      <c r="E82" s="10">
        <v>213.77</v>
      </c>
      <c r="F82" s="18">
        <f t="shared" si="9"/>
        <v>1218.4889999999998</v>
      </c>
      <c r="G82" s="128" t="s">
        <v>153</v>
      </c>
      <c r="H82" s="129" t="s">
        <v>154</v>
      </c>
      <c r="I82" s="78"/>
    </row>
    <row r="83" spans="1:9" ht="69.95" customHeight="1">
      <c r="A83" s="46" t="s">
        <v>214</v>
      </c>
      <c r="B83" s="54" t="s">
        <v>198</v>
      </c>
      <c r="C83" s="48" t="s">
        <v>19</v>
      </c>
      <c r="D83" s="55">
        <f>2.52*5</f>
        <v>12.6</v>
      </c>
      <c r="E83" s="10">
        <v>354.69</v>
      </c>
      <c r="F83" s="18">
        <f t="shared" si="9"/>
        <v>4469.0940000000001</v>
      </c>
      <c r="G83" s="130" t="s">
        <v>199</v>
      </c>
      <c r="H83" s="131" t="s">
        <v>158</v>
      </c>
      <c r="I83" s="78"/>
    </row>
    <row r="84" spans="1:9" ht="68.099999999999994" customHeight="1">
      <c r="A84" s="46" t="s">
        <v>215</v>
      </c>
      <c r="B84" s="50" t="s">
        <v>201</v>
      </c>
      <c r="C84" s="80" t="s">
        <v>202</v>
      </c>
      <c r="D84" s="55">
        <v>5</v>
      </c>
      <c r="E84" s="10">
        <v>299.75</v>
      </c>
      <c r="F84" s="18">
        <f t="shared" si="9"/>
        <v>1498.75</v>
      </c>
      <c r="G84" s="136" t="s">
        <v>203</v>
      </c>
      <c r="H84" s="125" t="s">
        <v>204</v>
      </c>
      <c r="I84" s="78"/>
    </row>
    <row r="85" spans="1:9" ht="101.1" customHeight="1">
      <c r="A85" s="46" t="s">
        <v>216</v>
      </c>
      <c r="B85" s="50" t="s">
        <v>206</v>
      </c>
      <c r="C85" s="80" t="s">
        <v>165</v>
      </c>
      <c r="D85" s="49">
        <f>329.05*5</f>
        <v>1645.25</v>
      </c>
      <c r="E85" s="10">
        <v>0.86</v>
      </c>
      <c r="F85" s="18">
        <f t="shared" si="9"/>
        <v>1414.915</v>
      </c>
      <c r="G85" s="122" t="s">
        <v>166</v>
      </c>
      <c r="H85" s="132" t="s">
        <v>167</v>
      </c>
      <c r="I85" s="78"/>
    </row>
    <row r="86" spans="1:9" ht="18.95" customHeight="1">
      <c r="A86" s="46" t="s">
        <v>55</v>
      </c>
      <c r="B86" s="50" t="s">
        <v>217</v>
      </c>
      <c r="C86" s="80" t="s">
        <v>194</v>
      </c>
      <c r="D86" s="55">
        <f>7</f>
        <v>7</v>
      </c>
      <c r="E86" s="10"/>
      <c r="F86" s="18"/>
      <c r="G86" s="124"/>
      <c r="H86" s="125"/>
      <c r="I86" s="78"/>
    </row>
    <row r="87" spans="1:9" ht="60.75" customHeight="1">
      <c r="A87" s="46" t="s">
        <v>218</v>
      </c>
      <c r="B87" s="50" t="s">
        <v>196</v>
      </c>
      <c r="C87" s="48" t="s">
        <v>19</v>
      </c>
      <c r="D87" s="55">
        <f>(1.6+0.7+0.2)*0.5*(2.5)*7</f>
        <v>21.875</v>
      </c>
      <c r="E87" s="10">
        <v>142.51</v>
      </c>
      <c r="F87" s="18">
        <f t="shared" ref="F87:F90" si="10">E87*D87</f>
        <v>3117.40625</v>
      </c>
      <c r="G87" s="128" t="s">
        <v>153</v>
      </c>
      <c r="H87" s="129" t="s">
        <v>154</v>
      </c>
      <c r="I87" s="78"/>
    </row>
    <row r="88" spans="1:9" ht="67.5" customHeight="1">
      <c r="A88" s="46" t="s">
        <v>219</v>
      </c>
      <c r="B88" s="54" t="s">
        <v>198</v>
      </c>
      <c r="C88" s="48" t="s">
        <v>19</v>
      </c>
      <c r="D88" s="55">
        <f>77.7+9.58</f>
        <v>87.28</v>
      </c>
      <c r="E88" s="10">
        <v>354.69</v>
      </c>
      <c r="F88" s="18">
        <f t="shared" si="10"/>
        <v>30957.343199999999</v>
      </c>
      <c r="G88" s="130" t="s">
        <v>199</v>
      </c>
      <c r="H88" s="131" t="s">
        <v>158</v>
      </c>
      <c r="I88" s="78"/>
    </row>
    <row r="89" spans="1:9" ht="69.95" customHeight="1">
      <c r="A89" s="46" t="s">
        <v>220</v>
      </c>
      <c r="B89" s="50" t="s">
        <v>201</v>
      </c>
      <c r="C89" s="80" t="s">
        <v>202</v>
      </c>
      <c r="D89" s="55">
        <v>7</v>
      </c>
      <c r="E89" s="10">
        <v>299.75</v>
      </c>
      <c r="F89" s="18">
        <f t="shared" si="10"/>
        <v>2098.25</v>
      </c>
      <c r="G89" s="136" t="s">
        <v>203</v>
      </c>
      <c r="H89" s="125" t="s">
        <v>204</v>
      </c>
      <c r="I89" s="78"/>
    </row>
    <row r="90" spans="1:9" ht="96.95" customHeight="1">
      <c r="A90" s="46" t="s">
        <v>221</v>
      </c>
      <c r="B90" s="50" t="s">
        <v>206</v>
      </c>
      <c r="C90" s="80" t="s">
        <v>165</v>
      </c>
      <c r="D90" s="49">
        <f>428.34*7</f>
        <v>2998.3799999999997</v>
      </c>
      <c r="E90" s="10">
        <v>0.86</v>
      </c>
      <c r="F90" s="18">
        <f t="shared" si="10"/>
        <v>2578.6067999999996</v>
      </c>
      <c r="G90" s="122" t="s">
        <v>166</v>
      </c>
      <c r="H90" s="132" t="s">
        <v>167</v>
      </c>
      <c r="I90" s="78"/>
    </row>
    <row r="91" spans="1:9" ht="18.95" customHeight="1">
      <c r="A91" s="46" t="s">
        <v>222</v>
      </c>
      <c r="B91" s="50" t="s">
        <v>223</v>
      </c>
      <c r="C91" s="80" t="s">
        <v>224</v>
      </c>
      <c r="D91" s="55">
        <v>39</v>
      </c>
      <c r="E91" s="10"/>
      <c r="F91" s="18"/>
      <c r="G91" s="124"/>
      <c r="H91" s="125"/>
      <c r="I91" s="78"/>
    </row>
    <row r="92" spans="1:9" ht="75.95" customHeight="1">
      <c r="A92" s="46" t="s">
        <v>225</v>
      </c>
      <c r="B92" s="50" t="s">
        <v>226</v>
      </c>
      <c r="C92" s="80" t="s">
        <v>224</v>
      </c>
      <c r="D92" s="55">
        <v>24</v>
      </c>
      <c r="E92" s="10">
        <v>918.66</v>
      </c>
      <c r="F92" s="18">
        <f>E92*D92</f>
        <v>22047.84</v>
      </c>
      <c r="G92" s="137" t="s">
        <v>227</v>
      </c>
      <c r="H92" s="118" t="s">
        <v>228</v>
      </c>
      <c r="I92" s="78"/>
    </row>
    <row r="93" spans="1:9" ht="69" customHeight="1">
      <c r="A93" s="46" t="s">
        <v>229</v>
      </c>
      <c r="B93" s="50" t="s">
        <v>230</v>
      </c>
      <c r="C93" s="80" t="s">
        <v>224</v>
      </c>
      <c r="D93" s="55">
        <v>15</v>
      </c>
      <c r="E93" s="10">
        <v>799.34</v>
      </c>
      <c r="F93" s="18">
        <f>E93*D93</f>
        <v>11990.1</v>
      </c>
      <c r="G93" s="137" t="s">
        <v>227</v>
      </c>
      <c r="H93" s="118" t="s">
        <v>228</v>
      </c>
      <c r="I93" s="78"/>
    </row>
    <row r="94" spans="1:9" ht="24" customHeight="1">
      <c r="A94" s="83"/>
      <c r="B94" s="49"/>
      <c r="C94" s="49"/>
      <c r="D94" s="49"/>
      <c r="E94" s="10"/>
      <c r="F94" s="84">
        <f>SUM(F3:F93)</f>
        <v>5390196.7115799999</v>
      </c>
      <c r="G94" s="10"/>
      <c r="H94" s="11"/>
      <c r="I94" s="75"/>
    </row>
    <row r="95" spans="1:9" s="2" customFormat="1" ht="26.1" customHeight="1">
      <c r="A95" s="144" t="s">
        <v>231</v>
      </c>
      <c r="B95" s="145"/>
      <c r="C95" s="145"/>
      <c r="D95" s="145"/>
      <c r="E95" s="145"/>
      <c r="F95" s="145"/>
      <c r="G95" s="145"/>
      <c r="H95" s="145"/>
      <c r="I95" s="146"/>
    </row>
    <row r="96" spans="1:9" s="2" customFormat="1" ht="16.5" customHeight="1">
      <c r="A96" s="147"/>
      <c r="B96" s="148"/>
      <c r="C96" s="148"/>
      <c r="D96" s="148"/>
      <c r="E96" s="148"/>
      <c r="F96" s="148"/>
      <c r="G96" s="148"/>
      <c r="H96" s="148"/>
      <c r="I96" s="149"/>
    </row>
    <row r="97" spans="1:9" s="2" customFormat="1" ht="15.75" customHeight="1">
      <c r="A97" s="152" t="s">
        <v>232</v>
      </c>
      <c r="B97" s="153"/>
      <c r="C97" s="153"/>
      <c r="D97" s="153"/>
      <c r="E97" s="153"/>
      <c r="F97" s="153"/>
      <c r="G97" s="153"/>
      <c r="H97" s="153"/>
      <c r="I97" s="154"/>
    </row>
    <row r="98" spans="1:9" s="2" customFormat="1" ht="15.75" customHeight="1">
      <c r="A98" s="155" t="s">
        <v>233</v>
      </c>
      <c r="B98" s="156"/>
      <c r="C98" s="156"/>
      <c r="D98" s="156"/>
      <c r="E98" s="156"/>
      <c r="F98" s="156"/>
      <c r="G98" s="156"/>
      <c r="H98" s="156"/>
      <c r="I98" s="157"/>
    </row>
    <row r="99" spans="1:9" s="2" customFormat="1" ht="15.75" customHeight="1">
      <c r="A99" s="155" t="s">
        <v>234</v>
      </c>
      <c r="B99" s="156"/>
      <c r="C99" s="156"/>
      <c r="D99" s="156"/>
      <c r="E99" s="156"/>
      <c r="F99" s="156"/>
      <c r="G99" s="156"/>
      <c r="H99" s="156"/>
      <c r="I99" s="157"/>
    </row>
    <row r="100" spans="1:9" s="2" customFormat="1" ht="15.75" customHeight="1">
      <c r="A100" s="155" t="s">
        <v>235</v>
      </c>
      <c r="B100" s="156"/>
      <c r="C100" s="156"/>
      <c r="D100" s="156"/>
      <c r="E100" s="156"/>
      <c r="F100" s="156"/>
      <c r="G100" s="156"/>
      <c r="H100" s="156"/>
      <c r="I100" s="157"/>
    </row>
    <row r="101" spans="1:9" s="2" customFormat="1" ht="15.75" customHeight="1">
      <c r="A101" s="141" t="s">
        <v>236</v>
      </c>
      <c r="B101" s="142"/>
      <c r="C101" s="142"/>
      <c r="D101" s="142"/>
      <c r="E101" s="142"/>
      <c r="F101" s="142"/>
      <c r="G101" s="142"/>
      <c r="H101" s="142"/>
      <c r="I101" s="143"/>
    </row>
  </sheetData>
  <sheetProtection password="C61B" sheet="1" objects="1" scenarios="1"/>
  <mergeCells count="7">
    <mergeCell ref="A101:I101"/>
    <mergeCell ref="A95:I96"/>
    <mergeCell ref="A1:I1"/>
    <mergeCell ref="A97:I97"/>
    <mergeCell ref="A98:I98"/>
    <mergeCell ref="A99:I99"/>
    <mergeCell ref="A100:I100"/>
  </mergeCells>
  <phoneticPr fontId="38" type="noConversion"/>
  <printOptions gridLines="1"/>
  <pageMargins left="0.70866141732283472" right="0.70866141732283472" top="0.74803149606299213" bottom="1.0629921259842521" header="0.31496062992125984" footer="0.31496062992125984"/>
  <pageSetup paperSize="9" scale="85" orientation="landscape" r:id="rId1"/>
  <headerFooter>
    <oddFooter>&amp;L投标法定代表人或授权委托人（签字盖章）：&amp;R第&amp;P页，共&amp;N页</oddFooter>
  </headerFooter>
</worksheet>
</file>

<file path=xl/worksheets/sheet2.xml><?xml version="1.0" encoding="utf-8"?>
<worksheet xmlns="http://schemas.openxmlformats.org/spreadsheetml/2006/main" xmlns:r="http://schemas.openxmlformats.org/officeDocument/2006/relationships">
  <dimension ref="A1:I103"/>
  <sheetViews>
    <sheetView topLeftCell="A67" zoomScale="85" zoomScaleNormal="85" workbookViewId="0">
      <selection activeCell="G75" sqref="G75"/>
    </sheetView>
  </sheetViews>
  <sheetFormatPr defaultColWidth="9" defaultRowHeight="12"/>
  <cols>
    <col min="1" max="1" width="7.5" style="3" customWidth="1"/>
    <col min="2" max="2" width="12.125" style="1" customWidth="1"/>
    <col min="3" max="3" width="5.125" style="1" customWidth="1"/>
    <col min="4" max="4" width="7.5" style="1" customWidth="1"/>
    <col min="5" max="5" width="8.25" style="1" customWidth="1"/>
    <col min="6" max="6" width="10.75" style="1" customWidth="1"/>
    <col min="7" max="7" width="40.125" style="1" customWidth="1"/>
    <col min="8" max="8" width="55.5" style="5" customWidth="1"/>
    <col min="9" max="9" width="8.375" style="6" customWidth="1"/>
    <col min="10" max="16384" width="9" style="1"/>
  </cols>
  <sheetData>
    <row r="1" spans="1:9" ht="36" customHeight="1">
      <c r="A1" s="150" t="s">
        <v>237</v>
      </c>
      <c r="B1" s="151"/>
      <c r="C1" s="151"/>
      <c r="D1" s="151"/>
      <c r="E1" s="151"/>
      <c r="F1" s="151"/>
      <c r="G1" s="151"/>
      <c r="H1" s="151"/>
      <c r="I1" s="151"/>
    </row>
    <row r="2" spans="1:9" ht="27" customHeight="1">
      <c r="A2" s="7" t="s">
        <v>1</v>
      </c>
      <c r="B2" s="8" t="s">
        <v>2</v>
      </c>
      <c r="C2" s="8" t="s">
        <v>3</v>
      </c>
      <c r="D2" s="8" t="s">
        <v>4</v>
      </c>
      <c r="E2" s="8" t="s">
        <v>5</v>
      </c>
      <c r="F2" s="8" t="s">
        <v>6</v>
      </c>
      <c r="G2" s="8" t="s">
        <v>7</v>
      </c>
      <c r="H2" s="9" t="s">
        <v>8</v>
      </c>
      <c r="I2" s="74" t="s">
        <v>9</v>
      </c>
    </row>
    <row r="3" spans="1:9" ht="200.25" customHeight="1">
      <c r="A3" s="7" t="s">
        <v>10</v>
      </c>
      <c r="B3" s="8" t="s">
        <v>11</v>
      </c>
      <c r="C3" s="8" t="s">
        <v>12</v>
      </c>
      <c r="D3" s="8">
        <v>1</v>
      </c>
      <c r="E3" s="8">
        <f>F3/D3</f>
        <v>100173</v>
      </c>
      <c r="F3" s="8">
        <v>100173</v>
      </c>
      <c r="G3" s="10" t="s">
        <v>13</v>
      </c>
      <c r="H3" s="11" t="s">
        <v>14</v>
      </c>
      <c r="I3" s="74"/>
    </row>
    <row r="4" spans="1:9" ht="29.1" customHeight="1">
      <c r="A4" s="12" t="s">
        <v>15</v>
      </c>
      <c r="B4" s="13" t="s">
        <v>16</v>
      </c>
      <c r="C4" s="14"/>
      <c r="D4" s="14"/>
      <c r="E4" s="10"/>
      <c r="F4" s="10"/>
      <c r="G4" s="15"/>
      <c r="H4" s="16"/>
      <c r="I4" s="75"/>
    </row>
    <row r="5" spans="1:9" ht="108" customHeight="1">
      <c r="A5" s="12" t="s">
        <v>17</v>
      </c>
      <c r="B5" s="13" t="s">
        <v>18</v>
      </c>
      <c r="C5" s="14" t="s">
        <v>19</v>
      </c>
      <c r="D5" s="17">
        <v>31756</v>
      </c>
      <c r="E5" s="10">
        <v>7.18</v>
      </c>
      <c r="F5" s="18">
        <f t="shared" ref="F5:F8" si="0">E5*D5</f>
        <v>228008.08</v>
      </c>
      <c r="G5" s="19" t="s">
        <v>20</v>
      </c>
      <c r="H5" s="138" t="s">
        <v>267</v>
      </c>
      <c r="I5" s="75"/>
    </row>
    <row r="6" spans="1:9" ht="148.5" customHeight="1">
      <c r="A6" s="12" t="s">
        <v>21</v>
      </c>
      <c r="B6" s="13" t="s">
        <v>22</v>
      </c>
      <c r="C6" s="14" t="s">
        <v>19</v>
      </c>
      <c r="D6" s="17">
        <v>31756</v>
      </c>
      <c r="E6" s="10">
        <v>10.36</v>
      </c>
      <c r="F6" s="18">
        <f t="shared" si="0"/>
        <v>328992.15999999997</v>
      </c>
      <c r="G6" s="85" t="s">
        <v>238</v>
      </c>
      <c r="H6" s="21" t="s">
        <v>24</v>
      </c>
      <c r="I6" s="75"/>
    </row>
    <row r="7" spans="1:9" ht="20.100000000000001" customHeight="1">
      <c r="A7" s="12" t="s">
        <v>25</v>
      </c>
      <c r="B7" s="13" t="s">
        <v>26</v>
      </c>
      <c r="C7" s="14"/>
      <c r="D7" s="14"/>
      <c r="E7" s="10"/>
      <c r="F7" s="18"/>
      <c r="G7" s="10"/>
      <c r="H7" s="11"/>
      <c r="I7" s="75"/>
    </row>
    <row r="8" spans="1:9" ht="100.5" customHeight="1">
      <c r="A8" s="12" t="s">
        <v>17</v>
      </c>
      <c r="B8" s="13" t="s">
        <v>27</v>
      </c>
      <c r="C8" s="14" t="s">
        <v>19</v>
      </c>
      <c r="D8" s="14">
        <v>35630</v>
      </c>
      <c r="E8" s="10">
        <v>6.89</v>
      </c>
      <c r="F8" s="18">
        <f t="shared" si="0"/>
        <v>245490.69999999998</v>
      </c>
      <c r="G8" s="10" t="s">
        <v>28</v>
      </c>
      <c r="H8" s="11" t="s">
        <v>29</v>
      </c>
      <c r="I8" s="75"/>
    </row>
    <row r="9" spans="1:9">
      <c r="A9" s="12" t="s">
        <v>21</v>
      </c>
      <c r="B9" s="13" t="s">
        <v>30</v>
      </c>
      <c r="C9" s="14"/>
      <c r="D9" s="14"/>
      <c r="E9" s="10"/>
      <c r="F9" s="18"/>
      <c r="G9" s="10"/>
      <c r="H9" s="11"/>
      <c r="I9" s="75"/>
    </row>
    <row r="10" spans="1:9" ht="113.25" customHeight="1">
      <c r="A10" s="12">
        <v>-1</v>
      </c>
      <c r="B10" s="13" t="s">
        <v>31</v>
      </c>
      <c r="C10" s="14" t="s">
        <v>19</v>
      </c>
      <c r="D10" s="22">
        <v>12877</v>
      </c>
      <c r="E10" s="10">
        <v>10.71</v>
      </c>
      <c r="F10" s="18">
        <f t="shared" ref="F10:F12" si="1">E10*D10</f>
        <v>137912.67000000001</v>
      </c>
      <c r="G10" s="86" t="s">
        <v>239</v>
      </c>
      <c r="H10" s="24" t="s">
        <v>240</v>
      </c>
      <c r="I10" s="75"/>
    </row>
    <row r="11" spans="1:9" ht="87" customHeight="1">
      <c r="A11" s="12" t="s">
        <v>35</v>
      </c>
      <c r="B11" s="13" t="s">
        <v>36</v>
      </c>
      <c r="C11" s="14" t="s">
        <v>19</v>
      </c>
      <c r="D11" s="14">
        <v>1224</v>
      </c>
      <c r="E11" s="10">
        <v>7.52</v>
      </c>
      <c r="F11" s="18">
        <f t="shared" si="1"/>
        <v>9204.48</v>
      </c>
      <c r="G11" s="25" t="s">
        <v>37</v>
      </c>
      <c r="H11" s="26" t="s">
        <v>38</v>
      </c>
      <c r="I11" s="75"/>
    </row>
    <row r="12" spans="1:9" ht="83.25" customHeight="1">
      <c r="A12" s="12" t="s">
        <v>39</v>
      </c>
      <c r="B12" s="13" t="s">
        <v>40</v>
      </c>
      <c r="C12" s="14" t="s">
        <v>19</v>
      </c>
      <c r="D12" s="14">
        <v>5784</v>
      </c>
      <c r="E12" s="10">
        <v>14.27</v>
      </c>
      <c r="F12" s="18">
        <f t="shared" si="1"/>
        <v>82537.679999999993</v>
      </c>
      <c r="G12" s="25" t="s">
        <v>41</v>
      </c>
      <c r="H12" s="26" t="s">
        <v>42</v>
      </c>
      <c r="I12" s="75"/>
    </row>
    <row r="13" spans="1:9" ht="24">
      <c r="A13" s="12" t="s">
        <v>43</v>
      </c>
      <c r="B13" s="13" t="s">
        <v>44</v>
      </c>
      <c r="C13" s="14"/>
      <c r="D13" s="14"/>
      <c r="E13" s="10"/>
      <c r="F13" s="18"/>
      <c r="G13" s="10"/>
      <c r="H13" s="11"/>
      <c r="I13" s="75"/>
    </row>
    <row r="14" spans="1:9" ht="162.94999999999999" customHeight="1">
      <c r="A14" s="12" t="s">
        <v>21</v>
      </c>
      <c r="B14" s="13" t="s">
        <v>45</v>
      </c>
      <c r="C14" s="14" t="s">
        <v>19</v>
      </c>
      <c r="D14" s="22">
        <v>30716</v>
      </c>
      <c r="E14" s="14">
        <v>3.24</v>
      </c>
      <c r="F14" s="18">
        <f t="shared" ref="F14:F19" si="2">E14*D14</f>
        <v>99519.840000000011</v>
      </c>
      <c r="G14" s="27" t="s">
        <v>242</v>
      </c>
      <c r="H14" s="28" t="s">
        <v>47</v>
      </c>
      <c r="I14" s="75"/>
    </row>
    <row r="15" spans="1:9" ht="147" customHeight="1">
      <c r="A15" s="12" t="s">
        <v>48</v>
      </c>
      <c r="B15" s="13" t="s">
        <v>49</v>
      </c>
      <c r="C15" s="14" t="s">
        <v>19</v>
      </c>
      <c r="D15" s="22">
        <v>13997</v>
      </c>
      <c r="E15" s="10">
        <v>4.34</v>
      </c>
      <c r="F15" s="18">
        <f t="shared" si="2"/>
        <v>60746.979999999996</v>
      </c>
      <c r="G15" s="29" t="s">
        <v>243</v>
      </c>
      <c r="H15" s="28" t="s">
        <v>51</v>
      </c>
      <c r="I15" s="75"/>
    </row>
    <row r="16" spans="1:9" ht="150" customHeight="1">
      <c r="A16" s="12" t="s">
        <v>52</v>
      </c>
      <c r="B16" s="13" t="s">
        <v>53</v>
      </c>
      <c r="C16" s="14" t="s">
        <v>19</v>
      </c>
      <c r="D16" s="22">
        <v>46089</v>
      </c>
      <c r="E16" s="30">
        <v>10.36</v>
      </c>
      <c r="F16" s="18">
        <f t="shared" si="2"/>
        <v>477482.04</v>
      </c>
      <c r="G16" s="87" t="s">
        <v>238</v>
      </c>
      <c r="H16" s="32" t="s">
        <v>54</v>
      </c>
      <c r="I16" s="10"/>
    </row>
    <row r="17" spans="1:9" ht="267.75" customHeight="1">
      <c r="A17" s="12" t="s">
        <v>55</v>
      </c>
      <c r="B17" s="13" t="s">
        <v>56</v>
      </c>
      <c r="C17" s="14" t="s">
        <v>19</v>
      </c>
      <c r="D17" s="14">
        <v>4573</v>
      </c>
      <c r="E17" s="30">
        <v>13.55</v>
      </c>
      <c r="F17" s="18">
        <f t="shared" si="2"/>
        <v>61964.15</v>
      </c>
      <c r="G17" s="87" t="s">
        <v>244</v>
      </c>
      <c r="H17" s="32" t="s">
        <v>245</v>
      </c>
      <c r="I17" s="10"/>
    </row>
    <row r="18" spans="1:9" ht="113.25" customHeight="1">
      <c r="A18" s="12" t="s">
        <v>59</v>
      </c>
      <c r="B18" s="13" t="s">
        <v>60</v>
      </c>
      <c r="C18" s="14" t="s">
        <v>19</v>
      </c>
      <c r="D18" s="14">
        <v>2850</v>
      </c>
      <c r="E18" s="10">
        <v>10.36</v>
      </c>
      <c r="F18" s="18">
        <f t="shared" si="2"/>
        <v>29526</v>
      </c>
      <c r="G18" s="85" t="s">
        <v>238</v>
      </c>
      <c r="H18" s="21" t="s">
        <v>61</v>
      </c>
      <c r="I18" s="10"/>
    </row>
    <row r="19" spans="1:9" ht="262.5" customHeight="1">
      <c r="A19" s="12" t="s">
        <v>62</v>
      </c>
      <c r="B19" s="13" t="s">
        <v>63</v>
      </c>
      <c r="C19" s="14" t="s">
        <v>19</v>
      </c>
      <c r="D19" s="14">
        <v>938.4</v>
      </c>
      <c r="E19" s="30">
        <v>13.55</v>
      </c>
      <c r="F19" s="18">
        <f t="shared" si="2"/>
        <v>12715.32</v>
      </c>
      <c r="G19" s="87" t="s">
        <v>244</v>
      </c>
      <c r="H19" s="32" t="s">
        <v>245</v>
      </c>
      <c r="I19" s="10"/>
    </row>
    <row r="20" spans="1:9">
      <c r="A20" s="12" t="s">
        <v>64</v>
      </c>
      <c r="B20" s="13" t="s">
        <v>65</v>
      </c>
      <c r="C20" s="14"/>
      <c r="D20" s="14"/>
      <c r="E20" s="10"/>
      <c r="F20" s="18"/>
      <c r="G20" s="10"/>
      <c r="H20" s="11"/>
      <c r="I20" s="10"/>
    </row>
    <row r="21" spans="1:9" ht="60" customHeight="1">
      <c r="A21" s="12" t="s">
        <v>66</v>
      </c>
      <c r="B21" s="13" t="s">
        <v>67</v>
      </c>
      <c r="C21" s="14" t="s">
        <v>19</v>
      </c>
      <c r="D21" s="17">
        <v>3689.3</v>
      </c>
      <c r="E21" s="10">
        <v>41.52</v>
      </c>
      <c r="F21" s="18">
        <f t="shared" ref="F21:F25" si="3">E21*D21</f>
        <v>153179.73600000003</v>
      </c>
      <c r="G21" s="33" t="s">
        <v>68</v>
      </c>
      <c r="H21" s="26" t="s">
        <v>69</v>
      </c>
      <c r="I21" s="10"/>
    </row>
    <row r="22" spans="1:9" ht="42.95" customHeight="1">
      <c r="A22" s="12" t="s">
        <v>70</v>
      </c>
      <c r="B22" s="13" t="s">
        <v>71</v>
      </c>
      <c r="C22" s="14" t="s">
        <v>72</v>
      </c>
      <c r="D22" s="14">
        <v>309</v>
      </c>
      <c r="E22" s="10">
        <v>27.58</v>
      </c>
      <c r="F22" s="18">
        <f t="shared" si="3"/>
        <v>8522.2199999999993</v>
      </c>
      <c r="G22" s="34" t="s">
        <v>73</v>
      </c>
      <c r="H22" s="13" t="s">
        <v>74</v>
      </c>
      <c r="I22" s="75"/>
    </row>
    <row r="23" spans="1:9">
      <c r="A23" s="12" t="s">
        <v>75</v>
      </c>
      <c r="B23" s="13" t="s">
        <v>76</v>
      </c>
      <c r="C23" s="14"/>
      <c r="D23" s="14"/>
      <c r="E23" s="10"/>
      <c r="F23" s="18"/>
      <c r="G23" s="10"/>
      <c r="H23" s="11"/>
      <c r="I23" s="75"/>
    </row>
    <row r="24" spans="1:9" ht="66" customHeight="1">
      <c r="A24" s="12" t="s">
        <v>77</v>
      </c>
      <c r="B24" s="13" t="s">
        <v>78</v>
      </c>
      <c r="C24" s="14" t="s">
        <v>19</v>
      </c>
      <c r="D24" s="17">
        <f>81+96+164+351+270+195+792</f>
        <v>1949</v>
      </c>
      <c r="E24" s="10">
        <v>41.52</v>
      </c>
      <c r="F24" s="18">
        <f t="shared" si="3"/>
        <v>80922.48000000001</v>
      </c>
      <c r="G24" s="35" t="s">
        <v>79</v>
      </c>
      <c r="H24" s="35" t="s">
        <v>80</v>
      </c>
      <c r="I24" s="75"/>
    </row>
    <row r="25" spans="1:9" ht="80.099999999999994" customHeight="1">
      <c r="A25" s="12" t="s">
        <v>81</v>
      </c>
      <c r="B25" s="13" t="s">
        <v>82</v>
      </c>
      <c r="C25" s="14" t="s">
        <v>19</v>
      </c>
      <c r="D25" s="17">
        <f>1300+1800+2340+1092+640</f>
        <v>7172</v>
      </c>
      <c r="E25" s="10">
        <v>41.52</v>
      </c>
      <c r="F25" s="18">
        <f t="shared" si="3"/>
        <v>297781.44</v>
      </c>
      <c r="G25" s="35" t="s">
        <v>83</v>
      </c>
      <c r="H25" s="35" t="s">
        <v>80</v>
      </c>
      <c r="I25" s="75"/>
    </row>
    <row r="26" spans="1:9">
      <c r="A26" s="12" t="s">
        <v>84</v>
      </c>
      <c r="B26" s="13" t="s">
        <v>85</v>
      </c>
      <c r="C26" s="14"/>
      <c r="D26" s="14"/>
      <c r="E26" s="10"/>
      <c r="F26" s="18"/>
      <c r="G26" s="10"/>
      <c r="H26" s="11"/>
      <c r="I26" s="75"/>
    </row>
    <row r="27" spans="1:9" ht="90" customHeight="1">
      <c r="A27" s="12" t="s">
        <v>86</v>
      </c>
      <c r="B27" s="13" t="s">
        <v>87</v>
      </c>
      <c r="C27" s="14" t="s">
        <v>88</v>
      </c>
      <c r="D27" s="14">
        <v>24068</v>
      </c>
      <c r="E27" s="10">
        <v>1</v>
      </c>
      <c r="F27" s="18">
        <f t="shared" ref="F27:F34" si="4">E27*D27</f>
        <v>24068</v>
      </c>
      <c r="G27" s="88" t="s">
        <v>246</v>
      </c>
      <c r="H27" s="37" t="s">
        <v>247</v>
      </c>
      <c r="I27" s="75"/>
    </row>
    <row r="28" spans="1:9" ht="60" customHeight="1">
      <c r="A28" s="12" t="s">
        <v>59</v>
      </c>
      <c r="B28" s="13" t="s">
        <v>91</v>
      </c>
      <c r="C28" s="14" t="s">
        <v>19</v>
      </c>
      <c r="D28" s="14">
        <v>886</v>
      </c>
      <c r="E28" s="10">
        <v>5.55</v>
      </c>
      <c r="F28" s="18">
        <f t="shared" si="4"/>
        <v>4917.3</v>
      </c>
      <c r="G28" s="38" t="s">
        <v>92</v>
      </c>
      <c r="H28" s="26" t="s">
        <v>93</v>
      </c>
      <c r="I28" s="75"/>
    </row>
    <row r="29" spans="1:9">
      <c r="A29" s="12" t="s">
        <v>94</v>
      </c>
      <c r="B29" s="13" t="s">
        <v>95</v>
      </c>
      <c r="C29" s="14"/>
      <c r="D29" s="14"/>
      <c r="E29" s="10"/>
      <c r="F29" s="18"/>
      <c r="G29" s="10"/>
      <c r="H29" s="11"/>
      <c r="I29" s="75"/>
    </row>
    <row r="30" spans="1:9" ht="91.5" customHeight="1">
      <c r="A30" s="12" t="s">
        <v>17</v>
      </c>
      <c r="B30" s="13" t="s">
        <v>96</v>
      </c>
      <c r="C30" s="14" t="s">
        <v>19</v>
      </c>
      <c r="D30" s="14">
        <f>4070*0.72</f>
        <v>2930.4</v>
      </c>
      <c r="E30" s="10">
        <v>345.13</v>
      </c>
      <c r="F30" s="18">
        <f t="shared" si="4"/>
        <v>1011368.952</v>
      </c>
      <c r="G30" s="19" t="s">
        <v>97</v>
      </c>
      <c r="H30" s="19" t="s">
        <v>98</v>
      </c>
      <c r="I30" s="76"/>
    </row>
    <row r="31" spans="1:9" ht="81" customHeight="1">
      <c r="A31" s="39" t="s">
        <v>99</v>
      </c>
      <c r="B31" s="40" t="s">
        <v>100</v>
      </c>
      <c r="C31" s="40" t="s">
        <v>101</v>
      </c>
      <c r="D31" s="40">
        <v>300</v>
      </c>
      <c r="E31" s="40">
        <v>371.96</v>
      </c>
      <c r="F31" s="18">
        <f t="shared" si="4"/>
        <v>111588</v>
      </c>
      <c r="G31" s="19" t="s">
        <v>97</v>
      </c>
      <c r="H31" s="41" t="s">
        <v>102</v>
      </c>
      <c r="I31" s="25"/>
    </row>
    <row r="32" spans="1:9" ht="67.5" customHeight="1">
      <c r="A32" s="39" t="s">
        <v>21</v>
      </c>
      <c r="B32" s="40" t="s">
        <v>103</v>
      </c>
      <c r="C32" s="40" t="s">
        <v>101</v>
      </c>
      <c r="D32" s="40">
        <v>120</v>
      </c>
      <c r="E32" s="25">
        <v>371.96</v>
      </c>
      <c r="F32" s="18">
        <f t="shared" si="4"/>
        <v>44635.199999999997</v>
      </c>
      <c r="G32" s="19" t="s">
        <v>97</v>
      </c>
      <c r="H32" s="41" t="s">
        <v>102</v>
      </c>
      <c r="I32" s="77"/>
    </row>
    <row r="33" spans="1:9" ht="99" customHeight="1">
      <c r="A33" s="39" t="s">
        <v>104</v>
      </c>
      <c r="B33" s="42" t="s">
        <v>105</v>
      </c>
      <c r="C33" s="42" t="s">
        <v>72</v>
      </c>
      <c r="D33" s="40">
        <v>680</v>
      </c>
      <c r="E33" s="25">
        <v>537.55999999999995</v>
      </c>
      <c r="F33" s="18">
        <f t="shared" si="4"/>
        <v>365540.8</v>
      </c>
      <c r="G33" s="13" t="s">
        <v>106</v>
      </c>
      <c r="H33" s="13" t="s">
        <v>107</v>
      </c>
      <c r="I33" s="77"/>
    </row>
    <row r="34" spans="1:9" ht="49.5" customHeight="1">
      <c r="A34" s="39" t="s">
        <v>108</v>
      </c>
      <c r="B34" s="40" t="s">
        <v>109</v>
      </c>
      <c r="C34" s="40" t="s">
        <v>19</v>
      </c>
      <c r="D34" s="40">
        <v>100</v>
      </c>
      <c r="E34" s="25">
        <v>140.04</v>
      </c>
      <c r="F34" s="18">
        <f t="shared" si="4"/>
        <v>14004</v>
      </c>
      <c r="G34" s="43" t="s">
        <v>110</v>
      </c>
      <c r="H34" s="13" t="s">
        <v>74</v>
      </c>
      <c r="I34" s="77"/>
    </row>
    <row r="35" spans="1:9" ht="28.5" customHeight="1">
      <c r="A35" s="39" t="s">
        <v>111</v>
      </c>
      <c r="B35" s="40" t="s">
        <v>112</v>
      </c>
      <c r="C35" s="40"/>
      <c r="D35" s="40"/>
      <c r="E35" s="25"/>
      <c r="F35" s="18"/>
      <c r="G35" s="25"/>
      <c r="H35" s="26"/>
      <c r="I35" s="77"/>
    </row>
    <row r="36" spans="1:9" ht="28.5" customHeight="1">
      <c r="A36" s="39" t="s">
        <v>113</v>
      </c>
      <c r="B36" s="40" t="s">
        <v>114</v>
      </c>
      <c r="C36" s="40"/>
      <c r="D36" s="40"/>
      <c r="E36" s="25"/>
      <c r="F36" s="18"/>
      <c r="G36" s="25"/>
      <c r="H36" s="26"/>
      <c r="I36" s="77"/>
    </row>
    <row r="37" spans="1:9" ht="65.25" customHeight="1">
      <c r="A37" s="39" t="s">
        <v>115</v>
      </c>
      <c r="B37" s="40" t="s">
        <v>116</v>
      </c>
      <c r="C37" s="40" t="s">
        <v>19</v>
      </c>
      <c r="D37" s="40">
        <v>10</v>
      </c>
      <c r="E37" s="25">
        <v>549.26</v>
      </c>
      <c r="F37" s="18">
        <f t="shared" ref="F37:F41" si="5">E37*D37</f>
        <v>5492.6</v>
      </c>
      <c r="G37" s="16" t="s">
        <v>117</v>
      </c>
      <c r="H37" s="16" t="s">
        <v>118</v>
      </c>
      <c r="I37" s="77"/>
    </row>
    <row r="38" spans="1:9" ht="63.75" customHeight="1">
      <c r="A38" s="39" t="s">
        <v>119</v>
      </c>
      <c r="B38" s="40" t="s">
        <v>114</v>
      </c>
      <c r="C38" s="40" t="s">
        <v>19</v>
      </c>
      <c r="D38" s="40">
        <f>144.2+60.4</f>
        <v>204.6</v>
      </c>
      <c r="E38" s="25">
        <v>335.34</v>
      </c>
      <c r="F38" s="18">
        <f t="shared" si="5"/>
        <v>68610.563999999998</v>
      </c>
      <c r="G38" s="13" t="s">
        <v>120</v>
      </c>
      <c r="H38" s="13" t="s">
        <v>121</v>
      </c>
      <c r="I38" s="77"/>
    </row>
    <row r="39" spans="1:9" ht="17.100000000000001" customHeight="1">
      <c r="A39" s="44" t="s">
        <v>122</v>
      </c>
      <c r="B39" s="45" t="s">
        <v>123</v>
      </c>
      <c r="C39" s="45"/>
      <c r="D39" s="45"/>
      <c r="E39" s="45"/>
      <c r="F39" s="18"/>
      <c r="G39" s="45"/>
      <c r="H39" s="41"/>
      <c r="I39" s="77"/>
    </row>
    <row r="40" spans="1:9" ht="79.5" customHeight="1">
      <c r="A40" s="44" t="s">
        <v>99</v>
      </c>
      <c r="B40" s="45" t="s">
        <v>124</v>
      </c>
      <c r="C40" s="45" t="s">
        <v>19</v>
      </c>
      <c r="D40" s="45">
        <v>646.75</v>
      </c>
      <c r="E40" s="45">
        <v>372.89</v>
      </c>
      <c r="F40" s="18">
        <f t="shared" si="5"/>
        <v>241166.60749999998</v>
      </c>
      <c r="G40" s="45" t="s">
        <v>125</v>
      </c>
      <c r="H40" s="41" t="s">
        <v>126</v>
      </c>
      <c r="I40" s="77"/>
    </row>
    <row r="41" spans="1:9" ht="81.75" customHeight="1">
      <c r="A41" s="44" t="s">
        <v>77</v>
      </c>
      <c r="B41" s="45" t="s">
        <v>127</v>
      </c>
      <c r="C41" s="45" t="s">
        <v>19</v>
      </c>
      <c r="D41" s="45">
        <f>D40*0.3</f>
        <v>194.02500000000001</v>
      </c>
      <c r="E41" s="45">
        <v>313.76</v>
      </c>
      <c r="F41" s="18">
        <f t="shared" si="5"/>
        <v>60877.284</v>
      </c>
      <c r="G41" s="45" t="s">
        <v>128</v>
      </c>
      <c r="H41" s="41" t="s">
        <v>129</v>
      </c>
      <c r="I41" s="77"/>
    </row>
    <row r="42" spans="1:9" ht="17.100000000000001" customHeight="1">
      <c r="A42" s="44" t="s">
        <v>130</v>
      </c>
      <c r="B42" s="45" t="s">
        <v>131</v>
      </c>
      <c r="C42" s="45"/>
      <c r="D42" s="45"/>
      <c r="E42" s="45"/>
      <c r="F42" s="18"/>
      <c r="G42" s="45"/>
      <c r="H42" s="41"/>
      <c r="I42" s="77"/>
    </row>
    <row r="43" spans="1:9" ht="77.25" customHeight="1">
      <c r="A43" s="44" t="s">
        <v>99</v>
      </c>
      <c r="B43" s="45" t="s">
        <v>124</v>
      </c>
      <c r="C43" s="45" t="s">
        <v>19</v>
      </c>
      <c r="D43" s="45">
        <v>272</v>
      </c>
      <c r="E43" s="45">
        <v>333.32</v>
      </c>
      <c r="F43" s="18">
        <f t="shared" ref="F43:F53" si="6">E43*D43</f>
        <v>90663.039999999994</v>
      </c>
      <c r="G43" s="45" t="s">
        <v>132</v>
      </c>
      <c r="H43" s="41" t="s">
        <v>102</v>
      </c>
      <c r="I43" s="77"/>
    </row>
    <row r="44" spans="1:9" ht="20.100000000000001" customHeight="1">
      <c r="A44" s="46" t="s">
        <v>133</v>
      </c>
      <c r="B44" s="47" t="s">
        <v>134</v>
      </c>
      <c r="C44" s="48"/>
      <c r="D44" s="49"/>
      <c r="E44" s="10"/>
      <c r="F44" s="18"/>
      <c r="G44" s="10"/>
      <c r="H44" s="11"/>
      <c r="I44" s="75"/>
    </row>
    <row r="45" spans="1:9" ht="20.100000000000001" customHeight="1">
      <c r="A45" s="46" t="s">
        <v>99</v>
      </c>
      <c r="B45" s="50" t="s">
        <v>135</v>
      </c>
      <c r="C45" s="48"/>
      <c r="D45" s="49"/>
      <c r="E45" s="10"/>
      <c r="F45" s="18"/>
      <c r="G45" s="15"/>
      <c r="H45" s="51"/>
      <c r="I45" s="75"/>
    </row>
    <row r="46" spans="1:9" ht="106.5" customHeight="1">
      <c r="A46" s="46" t="s">
        <v>136</v>
      </c>
      <c r="B46" s="50" t="s">
        <v>137</v>
      </c>
      <c r="C46" s="48" t="s">
        <v>19</v>
      </c>
      <c r="D46" s="55">
        <f>416.7+183.9</f>
        <v>600.6</v>
      </c>
      <c r="E46" s="10">
        <v>9.58</v>
      </c>
      <c r="F46" s="18">
        <f t="shared" si="6"/>
        <v>5753.7480000000005</v>
      </c>
      <c r="G46" s="89" t="s">
        <v>248</v>
      </c>
      <c r="H46" s="53" t="s">
        <v>249</v>
      </c>
      <c r="I46" s="78"/>
    </row>
    <row r="47" spans="1:9" ht="72" customHeight="1">
      <c r="A47" s="46" t="s">
        <v>140</v>
      </c>
      <c r="B47" s="54" t="s">
        <v>141</v>
      </c>
      <c r="C47" s="48" t="s">
        <v>72</v>
      </c>
      <c r="D47" s="55">
        <v>49</v>
      </c>
      <c r="E47" s="10">
        <v>99.61</v>
      </c>
      <c r="F47" s="18">
        <f t="shared" si="6"/>
        <v>4880.8900000000003</v>
      </c>
      <c r="G47" s="90" t="s">
        <v>142</v>
      </c>
      <c r="H47" s="57" t="s">
        <v>143</v>
      </c>
      <c r="I47" s="78"/>
    </row>
    <row r="48" spans="1:9" ht="57" customHeight="1">
      <c r="A48" s="46" t="s">
        <v>147</v>
      </c>
      <c r="B48" s="50" t="s">
        <v>148</v>
      </c>
      <c r="C48" s="48" t="s">
        <v>19</v>
      </c>
      <c r="D48" s="55">
        <v>900.3</v>
      </c>
      <c r="E48" s="10">
        <v>128.94</v>
      </c>
      <c r="F48" s="18">
        <f t="shared" si="6"/>
        <v>116084.68199999999</v>
      </c>
      <c r="G48" s="91" t="s">
        <v>251</v>
      </c>
      <c r="H48" s="59" t="s">
        <v>150</v>
      </c>
      <c r="I48" s="78"/>
    </row>
    <row r="49" spans="1:9" ht="66.75" customHeight="1">
      <c r="A49" s="46" t="s">
        <v>151</v>
      </c>
      <c r="B49" s="54" t="s">
        <v>152</v>
      </c>
      <c r="C49" s="48" t="s">
        <v>19</v>
      </c>
      <c r="D49" s="55">
        <f>31.7+74.1</f>
        <v>105.8</v>
      </c>
      <c r="E49" s="10">
        <v>142.51</v>
      </c>
      <c r="F49" s="18">
        <f t="shared" si="6"/>
        <v>15077.557999999999</v>
      </c>
      <c r="G49" s="61" t="s">
        <v>153</v>
      </c>
      <c r="H49" s="61" t="s">
        <v>154</v>
      </c>
      <c r="I49" s="78"/>
    </row>
    <row r="50" spans="1:9" ht="69.75" customHeight="1">
      <c r="A50" s="46" t="s">
        <v>155</v>
      </c>
      <c r="B50" s="54" t="s">
        <v>156</v>
      </c>
      <c r="C50" s="48" t="s">
        <v>19</v>
      </c>
      <c r="D50" s="92">
        <v>0</v>
      </c>
      <c r="E50" s="10">
        <v>354.69</v>
      </c>
      <c r="F50" s="18">
        <f t="shared" si="6"/>
        <v>0</v>
      </c>
      <c r="G50" s="63" t="s">
        <v>157</v>
      </c>
      <c r="H50" s="63" t="s">
        <v>158</v>
      </c>
      <c r="I50" s="78"/>
    </row>
    <row r="51" spans="1:9" ht="69" customHeight="1">
      <c r="A51" s="46" t="s">
        <v>159</v>
      </c>
      <c r="B51" s="54" t="s">
        <v>160</v>
      </c>
      <c r="C51" s="48" t="s">
        <v>19</v>
      </c>
      <c r="D51" s="55">
        <v>42.3</v>
      </c>
      <c r="E51" s="10">
        <v>223.01</v>
      </c>
      <c r="F51" s="18">
        <f t="shared" si="6"/>
        <v>9433.3229999999985</v>
      </c>
      <c r="G51" s="16" t="s">
        <v>161</v>
      </c>
      <c r="H51" s="16" t="s">
        <v>162</v>
      </c>
      <c r="I51" s="78"/>
    </row>
    <row r="52" spans="1:9" ht="101.25" customHeight="1">
      <c r="A52" s="46" t="s">
        <v>163</v>
      </c>
      <c r="B52" s="50" t="s">
        <v>164</v>
      </c>
      <c r="C52" s="48" t="s">
        <v>165</v>
      </c>
      <c r="D52" s="49">
        <v>16531</v>
      </c>
      <c r="E52" s="10">
        <v>0.86</v>
      </c>
      <c r="F52" s="18">
        <f t="shared" si="6"/>
        <v>14216.66</v>
      </c>
      <c r="G52" s="89" t="s">
        <v>166</v>
      </c>
      <c r="H52" s="64" t="s">
        <v>167</v>
      </c>
      <c r="I52" s="78"/>
    </row>
    <row r="53" spans="1:9" ht="64.5" customHeight="1">
      <c r="A53" s="46" t="s">
        <v>168</v>
      </c>
      <c r="B53" s="54" t="s">
        <v>169</v>
      </c>
      <c r="C53" s="48" t="s">
        <v>19</v>
      </c>
      <c r="D53" s="49">
        <v>1.2</v>
      </c>
      <c r="E53" s="10">
        <v>354.69</v>
      </c>
      <c r="F53" s="18">
        <f t="shared" si="6"/>
        <v>425.62799999999999</v>
      </c>
      <c r="G53" s="66" t="s">
        <v>170</v>
      </c>
      <c r="H53" s="66" t="s">
        <v>154</v>
      </c>
      <c r="I53" s="78"/>
    </row>
    <row r="54" spans="1:9" ht="24">
      <c r="A54" s="46" t="s">
        <v>171</v>
      </c>
      <c r="B54" s="67" t="s">
        <v>172</v>
      </c>
      <c r="C54" s="48"/>
      <c r="D54" s="49"/>
      <c r="E54" s="10"/>
      <c r="F54" s="18"/>
      <c r="G54" s="10"/>
      <c r="H54" s="51"/>
      <c r="I54" s="75"/>
    </row>
    <row r="55" spans="1:9" ht="100.5" customHeight="1">
      <c r="A55" s="68" t="s">
        <v>136</v>
      </c>
      <c r="B55" s="69" t="s">
        <v>173</v>
      </c>
      <c r="C55" s="70" t="s">
        <v>19</v>
      </c>
      <c r="D55" s="71">
        <f>467+446.1+474+355.8+362.4+289.1</f>
        <v>2394.3999999999996</v>
      </c>
      <c r="E55" s="45">
        <v>9.58</v>
      </c>
      <c r="F55" s="18">
        <f t="shared" ref="F55:F61" si="7">E55*D55</f>
        <v>22938.351999999995</v>
      </c>
      <c r="G55" s="89" t="s">
        <v>248</v>
      </c>
      <c r="H55" s="53" t="s">
        <v>249</v>
      </c>
      <c r="I55" s="75"/>
    </row>
    <row r="56" spans="1:9" ht="59.25" customHeight="1">
      <c r="A56" s="72" t="s">
        <v>140</v>
      </c>
      <c r="B56" s="50" t="s">
        <v>148</v>
      </c>
      <c r="C56" s="48" t="s">
        <v>19</v>
      </c>
      <c r="D56" s="55">
        <v>3528</v>
      </c>
      <c r="E56" s="10">
        <v>128.94</v>
      </c>
      <c r="F56" s="18">
        <f t="shared" si="7"/>
        <v>454900.32</v>
      </c>
      <c r="G56" s="93" t="s">
        <v>252</v>
      </c>
      <c r="H56" s="59" t="s">
        <v>146</v>
      </c>
      <c r="I56" s="78"/>
    </row>
    <row r="57" spans="1:9" ht="59.25" customHeight="1">
      <c r="A57" s="46" t="s">
        <v>144</v>
      </c>
      <c r="B57" s="54" t="s">
        <v>175</v>
      </c>
      <c r="C57" s="48" t="s">
        <v>19</v>
      </c>
      <c r="D57" s="55">
        <v>177.2</v>
      </c>
      <c r="E57" s="10">
        <v>156.76</v>
      </c>
      <c r="F57" s="18">
        <f t="shared" si="7"/>
        <v>27777.871999999996</v>
      </c>
      <c r="G57" s="61" t="s">
        <v>153</v>
      </c>
      <c r="H57" s="61" t="s">
        <v>154</v>
      </c>
      <c r="I57" s="75"/>
    </row>
    <row r="58" spans="1:9" ht="69.75" customHeight="1">
      <c r="A58" s="46" t="s">
        <v>147</v>
      </c>
      <c r="B58" s="54" t="s">
        <v>176</v>
      </c>
      <c r="C58" s="48" t="s">
        <v>19</v>
      </c>
      <c r="D58" s="55">
        <v>622.20000000000005</v>
      </c>
      <c r="E58" s="10">
        <v>390.16</v>
      </c>
      <c r="F58" s="18">
        <f t="shared" si="7"/>
        <v>242757.55200000003</v>
      </c>
      <c r="G58" s="63" t="s">
        <v>157</v>
      </c>
      <c r="H58" s="63" t="s">
        <v>158</v>
      </c>
      <c r="I58" s="75"/>
    </row>
    <row r="59" spans="1:9" ht="63" customHeight="1">
      <c r="A59" s="46" t="s">
        <v>151</v>
      </c>
      <c r="B59" s="54" t="s">
        <v>169</v>
      </c>
      <c r="C59" s="48" t="s">
        <v>19</v>
      </c>
      <c r="D59" s="49">
        <v>6</v>
      </c>
      <c r="E59" s="10">
        <v>354.69</v>
      </c>
      <c r="F59" s="18">
        <f t="shared" si="7"/>
        <v>2128.14</v>
      </c>
      <c r="G59" s="66" t="s">
        <v>170</v>
      </c>
      <c r="H59" s="66" t="s">
        <v>154</v>
      </c>
      <c r="I59" s="75"/>
    </row>
    <row r="60" spans="1:9" ht="76.5" customHeight="1">
      <c r="A60" s="46" t="s">
        <v>155</v>
      </c>
      <c r="B60" s="54" t="s">
        <v>160</v>
      </c>
      <c r="C60" s="48" t="s">
        <v>19</v>
      </c>
      <c r="D60" s="55">
        <v>309.89999999999998</v>
      </c>
      <c r="E60" s="10">
        <v>223.01</v>
      </c>
      <c r="F60" s="18">
        <f t="shared" si="7"/>
        <v>69110.798999999999</v>
      </c>
      <c r="G60" s="16" t="s">
        <v>161</v>
      </c>
      <c r="H60" s="16" t="s">
        <v>162</v>
      </c>
      <c r="I60" s="75"/>
    </row>
    <row r="61" spans="1:9" ht="99.75" customHeight="1">
      <c r="A61" s="46" t="s">
        <v>159</v>
      </c>
      <c r="B61" s="50" t="s">
        <v>164</v>
      </c>
      <c r="C61" s="48" t="s">
        <v>165</v>
      </c>
      <c r="D61" s="49">
        <v>108082</v>
      </c>
      <c r="E61" s="10">
        <v>0.86</v>
      </c>
      <c r="F61" s="18">
        <f t="shared" si="7"/>
        <v>92950.52</v>
      </c>
      <c r="G61" s="89" t="s">
        <v>166</v>
      </c>
      <c r="H61" s="64" t="s">
        <v>167</v>
      </c>
      <c r="I61" s="75"/>
    </row>
    <row r="62" spans="1:9" ht="20.100000000000001" customHeight="1">
      <c r="A62" s="46" t="s">
        <v>177</v>
      </c>
      <c r="B62" s="47" t="s">
        <v>178</v>
      </c>
      <c r="C62" s="48"/>
      <c r="D62" s="49"/>
      <c r="E62" s="10"/>
      <c r="F62" s="18"/>
      <c r="G62" s="10"/>
      <c r="H62" s="11"/>
      <c r="I62" s="75"/>
    </row>
    <row r="63" spans="1:9" ht="20.100000000000001" customHeight="1">
      <c r="A63" s="46" t="s">
        <v>99</v>
      </c>
      <c r="B63" s="50" t="s">
        <v>179</v>
      </c>
      <c r="C63" s="48"/>
      <c r="D63" s="49"/>
      <c r="E63" s="10"/>
      <c r="F63" s="18"/>
      <c r="G63" s="15"/>
      <c r="H63" s="51"/>
      <c r="I63" s="75"/>
    </row>
    <row r="64" spans="1:9" ht="103.5" customHeight="1">
      <c r="A64" s="46" t="s">
        <v>136</v>
      </c>
      <c r="B64" s="50" t="s">
        <v>137</v>
      </c>
      <c r="C64" s="48" t="s">
        <v>19</v>
      </c>
      <c r="D64" s="49">
        <f>10.5*190.6+2*3.3*351.7+1.6*2.35*1462.73+(1230-887.2)*4*1.5</f>
        <v>11879.184799999999</v>
      </c>
      <c r="E64" s="10">
        <v>16.86</v>
      </c>
      <c r="F64" s="18">
        <f t="shared" ref="F64:F72" si="8">E64*D64</f>
        <v>200283.05572799998</v>
      </c>
      <c r="G64" s="89" t="s">
        <v>253</v>
      </c>
      <c r="H64" s="53" t="s">
        <v>254</v>
      </c>
      <c r="I64" s="78"/>
    </row>
    <row r="65" spans="1:9" ht="69.75" customHeight="1">
      <c r="A65" s="46" t="s">
        <v>140</v>
      </c>
      <c r="B65" s="54" t="s">
        <v>255</v>
      </c>
      <c r="C65" s="48" t="s">
        <v>72</v>
      </c>
      <c r="D65" s="55">
        <v>190.6</v>
      </c>
      <c r="E65" s="10">
        <v>95.92</v>
      </c>
      <c r="F65" s="18">
        <f t="shared" si="8"/>
        <v>18282.351999999999</v>
      </c>
      <c r="G65" s="90" t="s">
        <v>142</v>
      </c>
      <c r="H65" s="57" t="s">
        <v>143</v>
      </c>
      <c r="I65" s="78"/>
    </row>
    <row r="66" spans="1:9" ht="70.5" customHeight="1">
      <c r="A66" s="46" t="s">
        <v>144</v>
      </c>
      <c r="B66" s="54" t="s">
        <v>256</v>
      </c>
      <c r="C66" s="48" t="s">
        <v>72</v>
      </c>
      <c r="D66" s="55">
        <v>351.7</v>
      </c>
      <c r="E66" s="10">
        <v>71.94</v>
      </c>
      <c r="F66" s="18">
        <f t="shared" si="8"/>
        <v>25301.297999999999</v>
      </c>
      <c r="G66" s="90" t="s">
        <v>142</v>
      </c>
      <c r="H66" s="57" t="s">
        <v>143</v>
      </c>
      <c r="I66" s="78"/>
    </row>
    <row r="67" spans="1:9" ht="57.75" customHeight="1">
      <c r="A67" s="46" t="s">
        <v>147</v>
      </c>
      <c r="B67" s="54" t="s">
        <v>184</v>
      </c>
      <c r="C67" s="48" t="s">
        <v>72</v>
      </c>
      <c r="D67" s="55">
        <v>462.7</v>
      </c>
      <c r="E67" s="10">
        <v>120</v>
      </c>
      <c r="F67" s="18">
        <f t="shared" si="8"/>
        <v>55524</v>
      </c>
      <c r="G67" s="56" t="s">
        <v>185</v>
      </c>
      <c r="H67" s="57" t="s">
        <v>186</v>
      </c>
      <c r="I67" s="78"/>
    </row>
    <row r="68" spans="1:9" ht="56.25" customHeight="1">
      <c r="A68" s="46" t="s">
        <v>151</v>
      </c>
      <c r="B68" s="54" t="s">
        <v>187</v>
      </c>
      <c r="C68" s="48" t="s">
        <v>72</v>
      </c>
      <c r="D68" s="55">
        <v>483.5</v>
      </c>
      <c r="E68" s="10">
        <v>52</v>
      </c>
      <c r="F68" s="18">
        <f t="shared" si="8"/>
        <v>25142</v>
      </c>
      <c r="G68" s="56" t="s">
        <v>185</v>
      </c>
      <c r="H68" s="57" t="s">
        <v>186</v>
      </c>
      <c r="I68" s="78"/>
    </row>
    <row r="69" spans="1:9" ht="66" customHeight="1">
      <c r="A69" s="46" t="s">
        <v>155</v>
      </c>
      <c r="B69" s="54" t="s">
        <v>257</v>
      </c>
      <c r="C69" s="48" t="s">
        <v>72</v>
      </c>
      <c r="D69" s="55">
        <f>210-185.5</f>
        <v>24.5</v>
      </c>
      <c r="E69" s="10">
        <v>80</v>
      </c>
      <c r="F69" s="18">
        <f t="shared" si="8"/>
        <v>1960</v>
      </c>
      <c r="G69" s="56" t="s">
        <v>185</v>
      </c>
      <c r="H69" s="57" t="s">
        <v>186</v>
      </c>
      <c r="I69" s="78"/>
    </row>
    <row r="70" spans="1:9" ht="68.099999999999994" customHeight="1">
      <c r="A70" s="46" t="s">
        <v>159</v>
      </c>
      <c r="B70" s="54" t="s">
        <v>189</v>
      </c>
      <c r="C70" s="48" t="s">
        <v>72</v>
      </c>
      <c r="D70" s="55">
        <f>500-25.3+7*24</f>
        <v>642.70000000000005</v>
      </c>
      <c r="E70" s="10">
        <v>32</v>
      </c>
      <c r="F70" s="18">
        <f t="shared" si="8"/>
        <v>20566.400000000001</v>
      </c>
      <c r="G70" s="56" t="s">
        <v>185</v>
      </c>
      <c r="H70" s="57" t="s">
        <v>186</v>
      </c>
      <c r="I70" s="78"/>
    </row>
    <row r="71" spans="1:9" ht="68.099999999999994" customHeight="1">
      <c r="A71" s="46" t="s">
        <v>163</v>
      </c>
      <c r="B71" s="50" t="s">
        <v>190</v>
      </c>
      <c r="C71" s="48" t="s">
        <v>19</v>
      </c>
      <c r="D71" s="55">
        <f>ROUND((0.15+0.2+1+0.5)*1.4*190.6+(0.16+0.15+0.8+0.5)*1.2*351.7+(0.15+0.05+0.6+0.5)*1*(462.7+642.7+24.5+483.5),0)</f>
        <v>3271</v>
      </c>
      <c r="E71" s="10">
        <v>100</v>
      </c>
      <c r="F71" s="18">
        <f t="shared" si="8"/>
        <v>327100</v>
      </c>
      <c r="G71" s="93" t="s">
        <v>258</v>
      </c>
      <c r="H71" s="59" t="s">
        <v>192</v>
      </c>
      <c r="I71" s="78"/>
    </row>
    <row r="72" spans="1:9" ht="63.75" customHeight="1">
      <c r="A72" s="46" t="s">
        <v>168</v>
      </c>
      <c r="B72" s="54" t="s">
        <v>175</v>
      </c>
      <c r="C72" s="48" t="s">
        <v>19</v>
      </c>
      <c r="D72" s="55">
        <f>ROUND((0.2+0.5)*1.6*190.6+(0.16+0.5)*1.28*351.7,0)</f>
        <v>511</v>
      </c>
      <c r="E72" s="10">
        <v>142.51</v>
      </c>
      <c r="F72" s="18">
        <f t="shared" si="8"/>
        <v>72822.61</v>
      </c>
      <c r="G72" s="61" t="s">
        <v>153</v>
      </c>
      <c r="H72" s="61" t="s">
        <v>154</v>
      </c>
      <c r="I72" s="75"/>
    </row>
    <row r="73" spans="1:9" ht="30" customHeight="1">
      <c r="A73" s="79" t="s">
        <v>77</v>
      </c>
      <c r="B73" s="50" t="s">
        <v>193</v>
      </c>
      <c r="C73" s="80" t="s">
        <v>194</v>
      </c>
      <c r="D73" s="55">
        <v>7</v>
      </c>
      <c r="E73" s="10"/>
      <c r="F73" s="18"/>
      <c r="G73" s="90"/>
      <c r="H73" s="57"/>
      <c r="I73" s="78"/>
    </row>
    <row r="74" spans="1:9" ht="64.5" customHeight="1">
      <c r="A74" s="79" t="s">
        <v>195</v>
      </c>
      <c r="B74" s="50" t="s">
        <v>196</v>
      </c>
      <c r="C74" s="48" t="s">
        <v>19</v>
      </c>
      <c r="D74" s="55">
        <f>0.67*7</f>
        <v>4.6900000000000004</v>
      </c>
      <c r="E74" s="10">
        <v>213.77</v>
      </c>
      <c r="F74" s="18">
        <f t="shared" ref="F74:F77" si="9">E74*D74</f>
        <v>1002.5813000000002</v>
      </c>
      <c r="G74" s="61" t="s">
        <v>153</v>
      </c>
      <c r="H74" s="61" t="s">
        <v>154</v>
      </c>
      <c r="I74" s="78"/>
    </row>
    <row r="75" spans="1:9" ht="68.25" customHeight="1">
      <c r="A75" s="79" t="s">
        <v>197</v>
      </c>
      <c r="B75" s="54" t="s">
        <v>198</v>
      </c>
      <c r="C75" s="48" t="s">
        <v>19</v>
      </c>
      <c r="D75" s="55">
        <f>1.49*7</f>
        <v>10.43</v>
      </c>
      <c r="E75" s="10">
        <v>354.69</v>
      </c>
      <c r="F75" s="18">
        <f t="shared" si="9"/>
        <v>3699.4166999999998</v>
      </c>
      <c r="G75" s="63" t="s">
        <v>199</v>
      </c>
      <c r="H75" s="63" t="s">
        <v>158</v>
      </c>
      <c r="I75" s="78"/>
    </row>
    <row r="76" spans="1:9" ht="81" customHeight="1">
      <c r="A76" s="79" t="s">
        <v>200</v>
      </c>
      <c r="B76" s="50" t="s">
        <v>201</v>
      </c>
      <c r="C76" s="80" t="s">
        <v>202</v>
      </c>
      <c r="D76" s="55">
        <v>7</v>
      </c>
      <c r="E76" s="10">
        <v>299.75</v>
      </c>
      <c r="F76" s="18">
        <f t="shared" si="9"/>
        <v>2098.25</v>
      </c>
      <c r="G76" s="81" t="s">
        <v>203</v>
      </c>
      <c r="H76" s="57" t="s">
        <v>204</v>
      </c>
      <c r="I76" s="78"/>
    </row>
    <row r="77" spans="1:9" ht="99" customHeight="1">
      <c r="A77" s="79" t="s">
        <v>205</v>
      </c>
      <c r="B77" s="50" t="s">
        <v>206</v>
      </c>
      <c r="C77" s="80" t="s">
        <v>165</v>
      </c>
      <c r="D77" s="55">
        <f>7*223.55</f>
        <v>1564.8500000000001</v>
      </c>
      <c r="E77" s="10">
        <v>0.86</v>
      </c>
      <c r="F77" s="18">
        <f t="shared" si="9"/>
        <v>1345.7710000000002</v>
      </c>
      <c r="G77" s="89" t="s">
        <v>166</v>
      </c>
      <c r="H77" s="64" t="s">
        <v>167</v>
      </c>
      <c r="I77" s="78"/>
    </row>
    <row r="78" spans="1:9" ht="30" customHeight="1">
      <c r="A78" s="79" t="s">
        <v>35</v>
      </c>
      <c r="B78" s="50" t="s">
        <v>207</v>
      </c>
      <c r="C78" s="80" t="s">
        <v>194</v>
      </c>
      <c r="D78" s="55">
        <f>8+10-3</f>
        <v>15</v>
      </c>
      <c r="E78" s="10"/>
      <c r="F78" s="18"/>
      <c r="G78" s="90"/>
      <c r="H78" s="57"/>
      <c r="I78" s="78"/>
    </row>
    <row r="79" spans="1:9" ht="56.1" customHeight="1">
      <c r="A79" s="46" t="s">
        <v>208</v>
      </c>
      <c r="B79" s="50" t="s">
        <v>196</v>
      </c>
      <c r="C79" s="48" t="s">
        <v>19</v>
      </c>
      <c r="D79" s="55">
        <f>0.905*15</f>
        <v>13.575000000000001</v>
      </c>
      <c r="E79" s="10">
        <v>213.77</v>
      </c>
      <c r="F79" s="18">
        <f t="shared" ref="F79:F82" si="10">E79*D79</f>
        <v>2901.9277500000003</v>
      </c>
      <c r="G79" s="61" t="s">
        <v>153</v>
      </c>
      <c r="H79" s="61" t="s">
        <v>154</v>
      </c>
      <c r="I79" s="78"/>
    </row>
    <row r="80" spans="1:9" ht="69.75" customHeight="1">
      <c r="A80" s="46" t="s">
        <v>209</v>
      </c>
      <c r="B80" s="54" t="s">
        <v>198</v>
      </c>
      <c r="C80" s="48" t="s">
        <v>19</v>
      </c>
      <c r="D80" s="55">
        <f>1.97*15</f>
        <v>29.55</v>
      </c>
      <c r="E80" s="10">
        <v>354.69</v>
      </c>
      <c r="F80" s="18">
        <f t="shared" si="10"/>
        <v>10481.0895</v>
      </c>
      <c r="G80" s="63" t="s">
        <v>199</v>
      </c>
      <c r="H80" s="63" t="s">
        <v>158</v>
      </c>
      <c r="I80" s="78"/>
    </row>
    <row r="81" spans="1:9" ht="85.5" customHeight="1">
      <c r="A81" s="46" t="s">
        <v>210</v>
      </c>
      <c r="B81" s="50" t="s">
        <v>201</v>
      </c>
      <c r="C81" s="80" t="s">
        <v>202</v>
      </c>
      <c r="D81" s="55">
        <v>15</v>
      </c>
      <c r="E81" s="10">
        <v>299.75</v>
      </c>
      <c r="F81" s="18">
        <f t="shared" si="10"/>
        <v>4496.25</v>
      </c>
      <c r="G81" s="81" t="s">
        <v>203</v>
      </c>
      <c r="H81" s="57" t="s">
        <v>204</v>
      </c>
      <c r="I81" s="78"/>
    </row>
    <row r="82" spans="1:9" ht="102" customHeight="1">
      <c r="A82" s="46" t="s">
        <v>211</v>
      </c>
      <c r="B82" s="50" t="s">
        <v>206</v>
      </c>
      <c r="C82" s="80" t="s">
        <v>165</v>
      </c>
      <c r="D82" s="49">
        <f>15*288.24</f>
        <v>4323.6000000000004</v>
      </c>
      <c r="E82" s="10">
        <v>0.86</v>
      </c>
      <c r="F82" s="18">
        <f t="shared" si="10"/>
        <v>3718.2960000000003</v>
      </c>
      <c r="G82" s="89" t="s">
        <v>166</v>
      </c>
      <c r="H82" s="64" t="s">
        <v>167</v>
      </c>
      <c r="I82" s="78"/>
    </row>
    <row r="83" spans="1:9" ht="30" customHeight="1">
      <c r="A83" s="46" t="s">
        <v>84</v>
      </c>
      <c r="B83" s="50" t="s">
        <v>212</v>
      </c>
      <c r="C83" s="80" t="s">
        <v>194</v>
      </c>
      <c r="D83" s="55">
        <v>2</v>
      </c>
      <c r="E83" s="10"/>
      <c r="F83" s="18"/>
      <c r="G83" s="90"/>
      <c r="H83" s="57"/>
      <c r="I83" s="78"/>
    </row>
    <row r="84" spans="1:9" ht="64.5" customHeight="1">
      <c r="A84" s="46" t="s">
        <v>213</v>
      </c>
      <c r="B84" s="50" t="s">
        <v>196</v>
      </c>
      <c r="C84" s="48" t="s">
        <v>19</v>
      </c>
      <c r="D84" s="55">
        <f>1.14*2</f>
        <v>2.2799999999999998</v>
      </c>
      <c r="E84" s="10">
        <v>213.77</v>
      </c>
      <c r="F84" s="18">
        <f t="shared" ref="F84:F87" si="11">E84*D84</f>
        <v>487.3956</v>
      </c>
      <c r="G84" s="61" t="s">
        <v>153</v>
      </c>
      <c r="H84" s="61" t="s">
        <v>154</v>
      </c>
      <c r="I84" s="78"/>
    </row>
    <row r="85" spans="1:9" ht="69.95" customHeight="1">
      <c r="A85" s="46" t="s">
        <v>214</v>
      </c>
      <c r="B85" s="54" t="s">
        <v>198</v>
      </c>
      <c r="C85" s="48" t="s">
        <v>19</v>
      </c>
      <c r="D85" s="55">
        <f>2.52*2</f>
        <v>5.04</v>
      </c>
      <c r="E85" s="10">
        <v>354.69</v>
      </c>
      <c r="F85" s="18">
        <f t="shared" si="11"/>
        <v>1787.6376</v>
      </c>
      <c r="G85" s="63" t="s">
        <v>199</v>
      </c>
      <c r="H85" s="63" t="s">
        <v>158</v>
      </c>
      <c r="I85" s="78"/>
    </row>
    <row r="86" spans="1:9" ht="74.25" customHeight="1">
      <c r="A86" s="46" t="s">
        <v>215</v>
      </c>
      <c r="B86" s="50" t="s">
        <v>201</v>
      </c>
      <c r="C86" s="80" t="s">
        <v>202</v>
      </c>
      <c r="D86" s="55">
        <v>2</v>
      </c>
      <c r="E86" s="10">
        <v>299.75</v>
      </c>
      <c r="F86" s="18">
        <f t="shared" si="11"/>
        <v>599.5</v>
      </c>
      <c r="G86" s="94" t="s">
        <v>203</v>
      </c>
      <c r="H86" s="57" t="s">
        <v>204</v>
      </c>
      <c r="I86" s="78"/>
    </row>
    <row r="87" spans="1:9" ht="101.1" customHeight="1">
      <c r="A87" s="46" t="s">
        <v>216</v>
      </c>
      <c r="B87" s="50" t="s">
        <v>206</v>
      </c>
      <c r="C87" s="80" t="s">
        <v>165</v>
      </c>
      <c r="D87" s="49">
        <f>329.05*2</f>
        <v>658.1</v>
      </c>
      <c r="E87" s="10">
        <v>0.86</v>
      </c>
      <c r="F87" s="18">
        <f t="shared" si="11"/>
        <v>565.96600000000001</v>
      </c>
      <c r="G87" s="89" t="s">
        <v>166</v>
      </c>
      <c r="H87" s="64" t="s">
        <v>167</v>
      </c>
      <c r="I87" s="78"/>
    </row>
    <row r="88" spans="1:9" ht="30" customHeight="1">
      <c r="A88" s="46" t="s">
        <v>55</v>
      </c>
      <c r="B88" s="50" t="s">
        <v>217</v>
      </c>
      <c r="C88" s="80" t="s">
        <v>194</v>
      </c>
      <c r="D88" s="55">
        <v>5</v>
      </c>
      <c r="E88" s="10"/>
      <c r="F88" s="18"/>
      <c r="G88" s="90"/>
      <c r="H88" s="57"/>
      <c r="I88" s="78"/>
    </row>
    <row r="89" spans="1:9" ht="72" customHeight="1">
      <c r="A89" s="46" t="s">
        <v>218</v>
      </c>
      <c r="B89" s="50" t="s">
        <v>196</v>
      </c>
      <c r="C89" s="48" t="s">
        <v>19</v>
      </c>
      <c r="D89" s="55">
        <f>(1.6+0.7+0.2)*0.5*(2.5)*5</f>
        <v>15.625</v>
      </c>
      <c r="E89" s="10">
        <v>142.51</v>
      </c>
      <c r="F89" s="18">
        <f t="shared" ref="F89:F92" si="12">E89*D89</f>
        <v>2226.71875</v>
      </c>
      <c r="G89" s="61" t="s">
        <v>153</v>
      </c>
      <c r="H89" s="61" t="s">
        <v>154</v>
      </c>
      <c r="I89" s="78"/>
    </row>
    <row r="90" spans="1:9" ht="62.1" customHeight="1">
      <c r="A90" s="46" t="s">
        <v>219</v>
      </c>
      <c r="B90" s="54" t="s">
        <v>198</v>
      </c>
      <c r="C90" s="48" t="s">
        <v>19</v>
      </c>
      <c r="D90" s="55">
        <f>(77.7+9.58)/7*5</f>
        <v>62.342857142857142</v>
      </c>
      <c r="E90" s="10">
        <v>354.69</v>
      </c>
      <c r="F90" s="18">
        <f t="shared" si="12"/>
        <v>22112.387999999999</v>
      </c>
      <c r="G90" s="63" t="s">
        <v>199</v>
      </c>
      <c r="H90" s="63" t="s">
        <v>158</v>
      </c>
      <c r="I90" s="78"/>
    </row>
    <row r="91" spans="1:9" ht="69.95" customHeight="1">
      <c r="A91" s="46" t="s">
        <v>220</v>
      </c>
      <c r="B91" s="50" t="s">
        <v>201</v>
      </c>
      <c r="C91" s="80" t="s">
        <v>202</v>
      </c>
      <c r="D91" s="55">
        <v>5</v>
      </c>
      <c r="E91" s="10">
        <v>299.75</v>
      </c>
      <c r="F91" s="18">
        <f t="shared" si="12"/>
        <v>1498.75</v>
      </c>
      <c r="G91" s="94" t="s">
        <v>203</v>
      </c>
      <c r="H91" s="57" t="s">
        <v>204</v>
      </c>
      <c r="I91" s="78"/>
    </row>
    <row r="92" spans="1:9" ht="102" customHeight="1">
      <c r="A92" s="46" t="s">
        <v>221</v>
      </c>
      <c r="B92" s="50" t="s">
        <v>206</v>
      </c>
      <c r="C92" s="80" t="s">
        <v>165</v>
      </c>
      <c r="D92" s="49">
        <f>428.34*5</f>
        <v>2141.6999999999998</v>
      </c>
      <c r="E92" s="10">
        <v>0.86</v>
      </c>
      <c r="F92" s="18">
        <f t="shared" si="12"/>
        <v>1841.8619999999999</v>
      </c>
      <c r="G92" s="89" t="s">
        <v>166</v>
      </c>
      <c r="H92" s="64" t="s">
        <v>167</v>
      </c>
      <c r="I92" s="78"/>
    </row>
    <row r="93" spans="1:9" ht="30" customHeight="1">
      <c r="A93" s="46" t="s">
        <v>222</v>
      </c>
      <c r="B93" s="50" t="s">
        <v>223</v>
      </c>
      <c r="C93" s="80" t="s">
        <v>224</v>
      </c>
      <c r="D93" s="55">
        <f>49+36-39</f>
        <v>46</v>
      </c>
      <c r="E93" s="10"/>
      <c r="F93" s="18"/>
      <c r="G93" s="90"/>
      <c r="H93" s="57"/>
      <c r="I93" s="78"/>
    </row>
    <row r="94" spans="1:9" ht="75.95" customHeight="1">
      <c r="A94" s="46" t="s">
        <v>225</v>
      </c>
      <c r="B94" s="50" t="s">
        <v>226</v>
      </c>
      <c r="C94" s="80" t="s">
        <v>224</v>
      </c>
      <c r="D94" s="55">
        <f>49-24</f>
        <v>25</v>
      </c>
      <c r="E94" s="10">
        <v>918.66</v>
      </c>
      <c r="F94" s="18">
        <f>E94*D94</f>
        <v>22966.5</v>
      </c>
      <c r="G94" s="95" t="s">
        <v>227</v>
      </c>
      <c r="H94" s="41" t="s">
        <v>228</v>
      </c>
      <c r="I94" s="78"/>
    </row>
    <row r="95" spans="1:9" ht="72.75" customHeight="1">
      <c r="A95" s="46" t="s">
        <v>229</v>
      </c>
      <c r="B95" s="50" t="s">
        <v>230</v>
      </c>
      <c r="C95" s="80" t="s">
        <v>224</v>
      </c>
      <c r="D95" s="55">
        <v>21</v>
      </c>
      <c r="E95" s="10">
        <v>799.34</v>
      </c>
      <c r="F95" s="18">
        <f>E95*D95</f>
        <v>16786.14</v>
      </c>
      <c r="G95" s="95" t="s">
        <v>227</v>
      </c>
      <c r="H95" s="41" t="s">
        <v>228</v>
      </c>
      <c r="I95" s="78"/>
    </row>
    <row r="96" spans="1:9" ht="38.1" customHeight="1">
      <c r="A96" s="83"/>
      <c r="B96" s="49"/>
      <c r="C96" s="49"/>
      <c r="D96" s="49"/>
      <c r="E96" s="10"/>
      <c r="F96" s="84">
        <f>SUM(F5:F95)</f>
        <v>6283472.5234279986</v>
      </c>
      <c r="G96" s="10"/>
      <c r="H96" s="11"/>
      <c r="I96" s="75"/>
    </row>
    <row r="97" spans="1:9" s="2" customFormat="1" ht="39" customHeight="1">
      <c r="A97" s="144" t="s">
        <v>231</v>
      </c>
      <c r="B97" s="145"/>
      <c r="C97" s="145"/>
      <c r="D97" s="145"/>
      <c r="E97" s="145"/>
      <c r="F97" s="145"/>
      <c r="G97" s="145"/>
      <c r="H97" s="145"/>
      <c r="I97" s="146"/>
    </row>
    <row r="98" spans="1:9" s="2" customFormat="1" ht="12.75" customHeight="1">
      <c r="A98" s="147"/>
      <c r="B98" s="148"/>
      <c r="C98" s="148"/>
      <c r="D98" s="148"/>
      <c r="E98" s="148"/>
      <c r="F98" s="148"/>
      <c r="G98" s="148"/>
      <c r="H98" s="148"/>
      <c r="I98" s="149"/>
    </row>
    <row r="99" spans="1:9" s="2" customFormat="1" ht="14.25" customHeight="1">
      <c r="A99" s="152" t="s">
        <v>232</v>
      </c>
      <c r="B99" s="153"/>
      <c r="C99" s="153"/>
      <c r="D99" s="153"/>
      <c r="E99" s="153"/>
      <c r="F99" s="153"/>
      <c r="G99" s="153"/>
      <c r="H99" s="153"/>
      <c r="I99" s="154"/>
    </row>
    <row r="100" spans="1:9" s="2" customFormat="1" ht="14.25" customHeight="1">
      <c r="A100" s="155" t="s">
        <v>233</v>
      </c>
      <c r="B100" s="156"/>
      <c r="C100" s="156"/>
      <c r="D100" s="156"/>
      <c r="E100" s="156"/>
      <c r="F100" s="156"/>
      <c r="G100" s="156"/>
      <c r="H100" s="156"/>
      <c r="I100" s="157"/>
    </row>
    <row r="101" spans="1:9" s="2" customFormat="1" ht="14.25" customHeight="1">
      <c r="A101" s="155" t="s">
        <v>234</v>
      </c>
      <c r="B101" s="156"/>
      <c r="C101" s="156"/>
      <c r="D101" s="156"/>
      <c r="E101" s="156"/>
      <c r="F101" s="156"/>
      <c r="G101" s="156"/>
      <c r="H101" s="156"/>
      <c r="I101" s="157"/>
    </row>
    <row r="102" spans="1:9" s="2" customFormat="1" ht="14.25" customHeight="1">
      <c r="A102" s="155" t="s">
        <v>235</v>
      </c>
      <c r="B102" s="156"/>
      <c r="C102" s="156"/>
      <c r="D102" s="156"/>
      <c r="E102" s="156"/>
      <c r="F102" s="156"/>
      <c r="G102" s="156"/>
      <c r="H102" s="156"/>
      <c r="I102" s="157"/>
    </row>
    <row r="103" spans="1:9" s="2" customFormat="1" ht="14.25" customHeight="1">
      <c r="A103" s="141" t="s">
        <v>236</v>
      </c>
      <c r="B103" s="142"/>
      <c r="C103" s="142"/>
      <c r="D103" s="142"/>
      <c r="E103" s="142"/>
      <c r="F103" s="142"/>
      <c r="G103" s="142"/>
      <c r="H103" s="142"/>
      <c r="I103" s="143"/>
    </row>
  </sheetData>
  <sheetProtection password="C61B" sheet="1" objects="1" scenarios="1"/>
  <mergeCells count="7">
    <mergeCell ref="A103:I103"/>
    <mergeCell ref="A97:I98"/>
    <mergeCell ref="A1:I1"/>
    <mergeCell ref="A99:I99"/>
    <mergeCell ref="A100:I100"/>
    <mergeCell ref="A101:I101"/>
    <mergeCell ref="A102:I102"/>
  </mergeCells>
  <phoneticPr fontId="38" type="noConversion"/>
  <pageMargins left="0.70866141732283472" right="0.70866141732283472" top="0.74803149606299213" bottom="0.74803149606299213" header="0.31496062992125984" footer="0.31496062992125984"/>
  <pageSetup paperSize="9" scale="85" orientation="landscape" r:id="rId1"/>
  <headerFooter>
    <oddFooter>&amp;L投标法定代表人或授权委托人（签字盖章）：&amp;R第&amp;P，共&amp;N页</oddFooter>
  </headerFooter>
</worksheet>
</file>

<file path=xl/worksheets/sheet3.xml><?xml version="1.0" encoding="utf-8"?>
<worksheet xmlns="http://schemas.openxmlformats.org/spreadsheetml/2006/main" xmlns:r="http://schemas.openxmlformats.org/officeDocument/2006/relationships">
  <dimension ref="A1:I84"/>
  <sheetViews>
    <sheetView zoomScale="85" zoomScaleNormal="85" workbookViewId="0">
      <selection activeCell="E8" sqref="E8"/>
    </sheetView>
  </sheetViews>
  <sheetFormatPr defaultColWidth="9" defaultRowHeight="12"/>
  <cols>
    <col min="1" max="1" width="7.5" style="3" customWidth="1"/>
    <col min="2" max="2" width="12.125" style="1" customWidth="1"/>
    <col min="3" max="3" width="5.125" style="1" customWidth="1"/>
    <col min="4" max="4" width="7.5" style="1" customWidth="1"/>
    <col min="5" max="5" width="8.25" style="1" customWidth="1"/>
    <col min="6" max="6" width="10.75" style="1" customWidth="1"/>
    <col min="7" max="7" width="40.125" style="4" customWidth="1"/>
    <col min="8" max="8" width="55.5" style="5" customWidth="1"/>
    <col min="9" max="9" width="8.125" style="6" customWidth="1"/>
    <col min="10" max="16384" width="9" style="1"/>
  </cols>
  <sheetData>
    <row r="1" spans="1:9" ht="35.25" customHeight="1">
      <c r="A1" s="150" t="s">
        <v>259</v>
      </c>
      <c r="B1" s="151"/>
      <c r="C1" s="151"/>
      <c r="D1" s="151"/>
      <c r="E1" s="151"/>
      <c r="F1" s="151"/>
      <c r="G1" s="151"/>
      <c r="H1" s="151"/>
      <c r="I1" s="151"/>
    </row>
    <row r="2" spans="1:9" ht="27" customHeight="1">
      <c r="A2" s="7" t="s">
        <v>1</v>
      </c>
      <c r="B2" s="8" t="s">
        <v>2</v>
      </c>
      <c r="C2" s="8" t="s">
        <v>3</v>
      </c>
      <c r="D2" s="8" t="s">
        <v>4</v>
      </c>
      <c r="E2" s="8" t="s">
        <v>5</v>
      </c>
      <c r="F2" s="8" t="s">
        <v>6</v>
      </c>
      <c r="G2" s="8" t="s">
        <v>7</v>
      </c>
      <c r="H2" s="9" t="s">
        <v>8</v>
      </c>
      <c r="I2" s="74" t="s">
        <v>9</v>
      </c>
    </row>
    <row r="3" spans="1:9" ht="198.75" customHeight="1">
      <c r="A3" s="7" t="s">
        <v>10</v>
      </c>
      <c r="B3" s="8" t="s">
        <v>11</v>
      </c>
      <c r="C3" s="8" t="s">
        <v>12</v>
      </c>
      <c r="D3" s="8">
        <v>1</v>
      </c>
      <c r="E3" s="8">
        <f>F3/D3</f>
        <v>71557</v>
      </c>
      <c r="F3" s="8">
        <v>71557</v>
      </c>
      <c r="G3" s="10" t="s">
        <v>13</v>
      </c>
      <c r="H3" s="11" t="s">
        <v>14</v>
      </c>
      <c r="I3" s="74"/>
    </row>
    <row r="4" spans="1:9" ht="20.100000000000001" customHeight="1">
      <c r="A4" s="12" t="s">
        <v>15</v>
      </c>
      <c r="B4" s="13" t="s">
        <v>16</v>
      </c>
      <c r="C4" s="14"/>
      <c r="D4" s="14"/>
      <c r="E4" s="10"/>
      <c r="F4" s="10"/>
      <c r="G4" s="15"/>
      <c r="H4" s="16"/>
      <c r="I4" s="75"/>
    </row>
    <row r="5" spans="1:9" ht="108.95" customHeight="1">
      <c r="A5" s="12" t="s">
        <v>17</v>
      </c>
      <c r="B5" s="13" t="s">
        <v>18</v>
      </c>
      <c r="C5" s="14" t="s">
        <v>19</v>
      </c>
      <c r="D5" s="17">
        <v>8838</v>
      </c>
      <c r="E5" s="10">
        <v>7.18</v>
      </c>
      <c r="F5" s="18">
        <f t="shared" ref="F5:F8" si="0">E5*D5</f>
        <v>63456.84</v>
      </c>
      <c r="G5" s="19" t="s">
        <v>20</v>
      </c>
      <c r="H5" s="138" t="s">
        <v>268</v>
      </c>
      <c r="I5" s="75"/>
    </row>
    <row r="6" spans="1:9" ht="145.5" customHeight="1">
      <c r="A6" s="12" t="s">
        <v>21</v>
      </c>
      <c r="B6" s="13" t="s">
        <v>260</v>
      </c>
      <c r="C6" s="14" t="s">
        <v>19</v>
      </c>
      <c r="D6" s="17">
        <v>8838</v>
      </c>
      <c r="E6" s="10">
        <v>10.36</v>
      </c>
      <c r="F6" s="18">
        <f t="shared" si="0"/>
        <v>91561.68</v>
      </c>
      <c r="G6" s="20" t="s">
        <v>238</v>
      </c>
      <c r="H6" s="21" t="s">
        <v>24</v>
      </c>
      <c r="I6" s="75"/>
    </row>
    <row r="7" spans="1:9" ht="20.100000000000001" customHeight="1">
      <c r="A7" s="12" t="s">
        <v>25</v>
      </c>
      <c r="B7" s="13" t="s">
        <v>26</v>
      </c>
      <c r="C7" s="14"/>
      <c r="D7" s="14"/>
      <c r="E7" s="10"/>
      <c r="F7" s="18"/>
      <c r="G7" s="10"/>
      <c r="H7" s="11"/>
      <c r="I7" s="75"/>
    </row>
    <row r="8" spans="1:9" ht="106.5" customHeight="1">
      <c r="A8" s="12" t="s">
        <v>17</v>
      </c>
      <c r="B8" s="13" t="s">
        <v>27</v>
      </c>
      <c r="C8" s="14" t="s">
        <v>19</v>
      </c>
      <c r="D8" s="14">
        <v>22327</v>
      </c>
      <c r="E8" s="10">
        <v>6.89</v>
      </c>
      <c r="F8" s="18">
        <f t="shared" si="0"/>
        <v>153833.03</v>
      </c>
      <c r="G8" s="10" t="s">
        <v>28</v>
      </c>
      <c r="H8" s="11" t="s">
        <v>29</v>
      </c>
      <c r="I8" s="75"/>
    </row>
    <row r="9" spans="1:9">
      <c r="A9" s="12" t="s">
        <v>21</v>
      </c>
      <c r="B9" s="13" t="s">
        <v>30</v>
      </c>
      <c r="C9" s="14"/>
      <c r="D9" s="14"/>
      <c r="E9" s="10"/>
      <c r="F9" s="18"/>
      <c r="G9" s="10"/>
      <c r="H9" s="11"/>
      <c r="I9" s="75"/>
    </row>
    <row r="10" spans="1:9" ht="117.75" customHeight="1">
      <c r="A10" s="12">
        <v>-1</v>
      </c>
      <c r="B10" s="13" t="s">
        <v>31</v>
      </c>
      <c r="C10" s="14" t="s">
        <v>19</v>
      </c>
      <c r="D10" s="22">
        <v>25174</v>
      </c>
      <c r="E10" s="10">
        <v>10.71</v>
      </c>
      <c r="F10" s="18">
        <f t="shared" ref="F10:F13" si="1">E10*D10</f>
        <v>269613.54000000004</v>
      </c>
      <c r="G10" s="23" t="s">
        <v>239</v>
      </c>
      <c r="H10" s="24" t="s">
        <v>240</v>
      </c>
      <c r="I10" s="75"/>
    </row>
    <row r="11" spans="1:9" ht="143.1" customHeight="1">
      <c r="A11" s="12">
        <v>-2</v>
      </c>
      <c r="B11" s="13" t="s">
        <v>34</v>
      </c>
      <c r="C11" s="14" t="s">
        <v>19</v>
      </c>
      <c r="D11" s="14">
        <v>0</v>
      </c>
      <c r="E11" s="10">
        <v>21.43</v>
      </c>
      <c r="F11" s="18">
        <f t="shared" si="1"/>
        <v>0</v>
      </c>
      <c r="G11" s="23" t="s">
        <v>239</v>
      </c>
      <c r="H11" s="24" t="s">
        <v>241</v>
      </c>
      <c r="I11" s="75"/>
    </row>
    <row r="12" spans="1:9" ht="87" customHeight="1">
      <c r="A12" s="12" t="s">
        <v>35</v>
      </c>
      <c r="B12" s="13" t="s">
        <v>36</v>
      </c>
      <c r="C12" s="14" t="s">
        <v>19</v>
      </c>
      <c r="D12" s="14">
        <v>612</v>
      </c>
      <c r="E12" s="10">
        <v>7.52</v>
      </c>
      <c r="F12" s="18">
        <f t="shared" si="1"/>
        <v>4602.24</v>
      </c>
      <c r="G12" s="25" t="s">
        <v>37</v>
      </c>
      <c r="H12" s="26" t="s">
        <v>38</v>
      </c>
      <c r="I12" s="75"/>
    </row>
    <row r="13" spans="1:9" ht="86.25" customHeight="1">
      <c r="A13" s="12" t="s">
        <v>39</v>
      </c>
      <c r="B13" s="13" t="s">
        <v>40</v>
      </c>
      <c r="C13" s="14" t="s">
        <v>19</v>
      </c>
      <c r="D13" s="14">
        <v>1575</v>
      </c>
      <c r="E13" s="10">
        <v>14.27</v>
      </c>
      <c r="F13" s="18">
        <f t="shared" si="1"/>
        <v>22475.25</v>
      </c>
      <c r="G13" s="25" t="s">
        <v>41</v>
      </c>
      <c r="H13" s="26" t="s">
        <v>42</v>
      </c>
      <c r="I13" s="75"/>
    </row>
    <row r="14" spans="1:9" ht="24">
      <c r="A14" s="12" t="s">
        <v>43</v>
      </c>
      <c r="B14" s="13" t="s">
        <v>44</v>
      </c>
      <c r="C14" s="14"/>
      <c r="D14" s="14"/>
      <c r="E14" s="10"/>
      <c r="F14" s="18"/>
      <c r="G14" s="10"/>
      <c r="H14" s="11"/>
      <c r="I14" s="75"/>
    </row>
    <row r="15" spans="1:9" ht="162.94999999999999" customHeight="1">
      <c r="A15" s="12" t="s">
        <v>21</v>
      </c>
      <c r="B15" s="13" t="s">
        <v>45</v>
      </c>
      <c r="C15" s="14" t="s">
        <v>19</v>
      </c>
      <c r="D15" s="22">
        <v>19247</v>
      </c>
      <c r="E15" s="14">
        <v>3.24</v>
      </c>
      <c r="F15" s="18">
        <f t="shared" ref="F15:F19" si="2">E15*D15</f>
        <v>62360.280000000006</v>
      </c>
      <c r="G15" s="27" t="s">
        <v>242</v>
      </c>
      <c r="H15" s="28" t="s">
        <v>47</v>
      </c>
      <c r="I15" s="75"/>
    </row>
    <row r="16" spans="1:9" ht="162" customHeight="1">
      <c r="A16" s="12" t="s">
        <v>48</v>
      </c>
      <c r="B16" s="13" t="s">
        <v>49</v>
      </c>
      <c r="C16" s="14" t="s">
        <v>19</v>
      </c>
      <c r="D16" s="22">
        <v>15232</v>
      </c>
      <c r="E16" s="10">
        <v>4.34</v>
      </c>
      <c r="F16" s="18">
        <f t="shared" si="2"/>
        <v>66106.880000000005</v>
      </c>
      <c r="G16" s="29" t="s">
        <v>243</v>
      </c>
      <c r="H16" s="28" t="s">
        <v>51</v>
      </c>
      <c r="I16" s="75"/>
    </row>
    <row r="17" spans="1:9" ht="150" customHeight="1">
      <c r="A17" s="12" t="s">
        <v>52</v>
      </c>
      <c r="B17" s="13" t="s">
        <v>53</v>
      </c>
      <c r="C17" s="14" t="s">
        <v>19</v>
      </c>
      <c r="D17" s="22"/>
      <c r="E17" s="30">
        <v>10.36</v>
      </c>
      <c r="F17" s="18">
        <f t="shared" si="2"/>
        <v>0</v>
      </c>
      <c r="G17" s="31" t="s">
        <v>238</v>
      </c>
      <c r="H17" s="32" t="s">
        <v>54</v>
      </c>
      <c r="I17" s="10"/>
    </row>
    <row r="18" spans="1:9" ht="109.5" customHeight="1">
      <c r="A18" s="12" t="s">
        <v>59</v>
      </c>
      <c r="B18" s="13" t="s">
        <v>60</v>
      </c>
      <c r="C18" s="14" t="s">
        <v>19</v>
      </c>
      <c r="D18" s="14">
        <v>3125.5</v>
      </c>
      <c r="E18" s="10">
        <v>10.36</v>
      </c>
      <c r="F18" s="18">
        <f t="shared" si="2"/>
        <v>32380.179999999997</v>
      </c>
      <c r="G18" s="20" t="s">
        <v>238</v>
      </c>
      <c r="H18" s="21" t="s">
        <v>61</v>
      </c>
      <c r="I18" s="10"/>
    </row>
    <row r="19" spans="1:9" ht="258.75" customHeight="1">
      <c r="A19" s="12" t="s">
        <v>62</v>
      </c>
      <c r="B19" s="13" t="s">
        <v>63</v>
      </c>
      <c r="C19" s="14" t="s">
        <v>19</v>
      </c>
      <c r="D19" s="14">
        <v>411.2</v>
      </c>
      <c r="E19" s="30">
        <v>13.55</v>
      </c>
      <c r="F19" s="18">
        <f t="shared" si="2"/>
        <v>5571.76</v>
      </c>
      <c r="G19" s="31" t="s">
        <v>244</v>
      </c>
      <c r="H19" s="32" t="s">
        <v>245</v>
      </c>
      <c r="I19" s="10"/>
    </row>
    <row r="20" spans="1:9">
      <c r="A20" s="12" t="s">
        <v>64</v>
      </c>
      <c r="B20" s="13" t="s">
        <v>65</v>
      </c>
      <c r="C20" s="14"/>
      <c r="D20" s="14"/>
      <c r="E20" s="10"/>
      <c r="F20" s="18"/>
      <c r="G20" s="10"/>
      <c r="H20" s="11"/>
      <c r="I20" s="10"/>
    </row>
    <row r="21" spans="1:9" ht="60" customHeight="1">
      <c r="A21" s="12" t="s">
        <v>66</v>
      </c>
      <c r="B21" s="13" t="s">
        <v>67</v>
      </c>
      <c r="C21" s="14" t="s">
        <v>19</v>
      </c>
      <c r="D21" s="17">
        <f>2984+532</f>
        <v>3516</v>
      </c>
      <c r="E21" s="10">
        <v>41.52</v>
      </c>
      <c r="F21" s="18">
        <f t="shared" ref="F21:F25" si="3">E21*D21</f>
        <v>145984.32000000001</v>
      </c>
      <c r="G21" s="33" t="s">
        <v>68</v>
      </c>
      <c r="H21" s="26" t="s">
        <v>69</v>
      </c>
      <c r="I21" s="10"/>
    </row>
    <row r="22" spans="1:9" ht="64.5" customHeight="1">
      <c r="A22" s="12" t="s">
        <v>70</v>
      </c>
      <c r="B22" s="13" t="s">
        <v>71</v>
      </c>
      <c r="C22" s="14" t="s">
        <v>72</v>
      </c>
      <c r="D22" s="14">
        <v>90</v>
      </c>
      <c r="E22" s="10">
        <v>27.58</v>
      </c>
      <c r="F22" s="18">
        <f t="shared" si="3"/>
        <v>2482.1999999999998</v>
      </c>
      <c r="G22" s="34" t="s">
        <v>73</v>
      </c>
      <c r="H22" s="13" t="s">
        <v>74</v>
      </c>
      <c r="I22" s="75"/>
    </row>
    <row r="23" spans="1:9">
      <c r="A23" s="12" t="s">
        <v>75</v>
      </c>
      <c r="B23" s="13" t="s">
        <v>76</v>
      </c>
      <c r="C23" s="14"/>
      <c r="D23" s="14"/>
      <c r="E23" s="10"/>
      <c r="F23" s="18"/>
      <c r="G23" s="10"/>
      <c r="H23" s="11"/>
      <c r="I23" s="75"/>
    </row>
    <row r="24" spans="1:9" ht="75.75" customHeight="1">
      <c r="A24" s="12" t="s">
        <v>77</v>
      </c>
      <c r="B24" s="13" t="s">
        <v>78</v>
      </c>
      <c r="C24" s="14" t="s">
        <v>19</v>
      </c>
      <c r="D24" s="17">
        <v>315</v>
      </c>
      <c r="E24" s="10">
        <v>41.52</v>
      </c>
      <c r="F24" s="18">
        <f t="shared" si="3"/>
        <v>13078.800000000001</v>
      </c>
      <c r="G24" s="35" t="s">
        <v>79</v>
      </c>
      <c r="H24" s="35" t="s">
        <v>80</v>
      </c>
      <c r="I24" s="75"/>
    </row>
    <row r="25" spans="1:9" ht="80.099999999999994" customHeight="1">
      <c r="A25" s="12" t="s">
        <v>81</v>
      </c>
      <c r="B25" s="13" t="s">
        <v>82</v>
      </c>
      <c r="C25" s="14" t="s">
        <v>19</v>
      </c>
      <c r="D25" s="17">
        <v>2100</v>
      </c>
      <c r="E25" s="10">
        <v>41.52</v>
      </c>
      <c r="F25" s="18">
        <f t="shared" si="3"/>
        <v>87192</v>
      </c>
      <c r="G25" s="35" t="s">
        <v>83</v>
      </c>
      <c r="H25" s="35" t="s">
        <v>80</v>
      </c>
      <c r="I25" s="75"/>
    </row>
    <row r="26" spans="1:9">
      <c r="A26" s="12" t="s">
        <v>84</v>
      </c>
      <c r="B26" s="13" t="s">
        <v>85</v>
      </c>
      <c r="C26" s="14"/>
      <c r="D26" s="14"/>
      <c r="E26" s="10"/>
      <c r="F26" s="18"/>
      <c r="G26" s="10"/>
      <c r="H26" s="11"/>
      <c r="I26" s="75"/>
    </row>
    <row r="27" spans="1:9" ht="90" customHeight="1">
      <c r="A27" s="12" t="s">
        <v>86</v>
      </c>
      <c r="B27" s="13" t="s">
        <v>87</v>
      </c>
      <c r="C27" s="14" t="s">
        <v>88</v>
      </c>
      <c r="D27" s="14">
        <v>4910</v>
      </c>
      <c r="E27" s="10">
        <v>1</v>
      </c>
      <c r="F27" s="18">
        <f t="shared" ref="F27:F34" si="4">E27*D27</f>
        <v>4910</v>
      </c>
      <c r="G27" s="36" t="s">
        <v>246</v>
      </c>
      <c r="H27" s="37" t="s">
        <v>247</v>
      </c>
      <c r="I27" s="75"/>
    </row>
    <row r="28" spans="1:9" ht="61.5" customHeight="1">
      <c r="A28" s="12" t="s">
        <v>59</v>
      </c>
      <c r="B28" s="13" t="s">
        <v>91</v>
      </c>
      <c r="C28" s="14" t="s">
        <v>19</v>
      </c>
      <c r="D28" s="14">
        <v>2415</v>
      </c>
      <c r="E28" s="10">
        <v>5.55</v>
      </c>
      <c r="F28" s="18">
        <f t="shared" si="4"/>
        <v>13403.25</v>
      </c>
      <c r="G28" s="38" t="s">
        <v>92</v>
      </c>
      <c r="H28" s="26" t="s">
        <v>93</v>
      </c>
      <c r="I28" s="75"/>
    </row>
    <row r="29" spans="1:9">
      <c r="A29" s="12" t="s">
        <v>94</v>
      </c>
      <c r="B29" s="13" t="s">
        <v>95</v>
      </c>
      <c r="C29" s="14"/>
      <c r="D29" s="14"/>
      <c r="E29" s="10"/>
      <c r="F29" s="18"/>
      <c r="G29" s="10"/>
      <c r="H29" s="11"/>
      <c r="I29" s="75"/>
    </row>
    <row r="30" spans="1:9" ht="84.75" customHeight="1">
      <c r="A30" s="12" t="s">
        <v>17</v>
      </c>
      <c r="B30" s="13" t="s">
        <v>96</v>
      </c>
      <c r="C30" s="14" t="s">
        <v>19</v>
      </c>
      <c r="D30" s="14">
        <f>2120*0.72</f>
        <v>1526.3999999999999</v>
      </c>
      <c r="E30" s="10">
        <v>345.13</v>
      </c>
      <c r="F30" s="18">
        <f t="shared" si="4"/>
        <v>526806.43199999991</v>
      </c>
      <c r="G30" s="19" t="s">
        <v>97</v>
      </c>
      <c r="H30" s="19" t="s">
        <v>98</v>
      </c>
      <c r="I30" s="139"/>
    </row>
    <row r="31" spans="1:9" ht="81" customHeight="1">
      <c r="A31" s="39" t="s">
        <v>99</v>
      </c>
      <c r="B31" s="40" t="s">
        <v>100</v>
      </c>
      <c r="C31" s="40" t="s">
        <v>101</v>
      </c>
      <c r="D31" s="40">
        <v>300</v>
      </c>
      <c r="E31" s="40">
        <v>371.96</v>
      </c>
      <c r="F31" s="18">
        <f t="shared" si="4"/>
        <v>111588</v>
      </c>
      <c r="G31" s="19" t="s">
        <v>97</v>
      </c>
      <c r="H31" s="41" t="s">
        <v>102</v>
      </c>
      <c r="I31" s="140"/>
    </row>
    <row r="32" spans="1:9" ht="72.75" customHeight="1">
      <c r="A32" s="39" t="s">
        <v>21</v>
      </c>
      <c r="B32" s="40" t="s">
        <v>103</v>
      </c>
      <c r="C32" s="40" t="s">
        <v>101</v>
      </c>
      <c r="D32" s="40">
        <v>120</v>
      </c>
      <c r="E32" s="25">
        <v>371.96</v>
      </c>
      <c r="F32" s="18">
        <f t="shared" si="4"/>
        <v>44635.199999999997</v>
      </c>
      <c r="G32" s="19" t="s">
        <v>97</v>
      </c>
      <c r="H32" s="41" t="s">
        <v>102</v>
      </c>
      <c r="I32" s="77"/>
    </row>
    <row r="33" spans="1:9" ht="87" customHeight="1">
      <c r="A33" s="39" t="s">
        <v>104</v>
      </c>
      <c r="B33" s="42" t="s">
        <v>105</v>
      </c>
      <c r="C33" s="42" t="s">
        <v>72</v>
      </c>
      <c r="D33" s="40">
        <v>3370</v>
      </c>
      <c r="E33" s="25">
        <v>537.55999999999995</v>
      </c>
      <c r="F33" s="18">
        <f t="shared" si="4"/>
        <v>1811577.1999999997</v>
      </c>
      <c r="G33" s="13" t="s">
        <v>106</v>
      </c>
      <c r="H33" s="13" t="s">
        <v>107</v>
      </c>
      <c r="I33" s="77"/>
    </row>
    <row r="34" spans="1:9" ht="50.25" customHeight="1">
      <c r="A34" s="39" t="s">
        <v>108</v>
      </c>
      <c r="B34" s="40" t="s">
        <v>109</v>
      </c>
      <c r="C34" s="40" t="s">
        <v>19</v>
      </c>
      <c r="D34" s="40">
        <v>72.8</v>
      </c>
      <c r="E34" s="25">
        <v>140.04</v>
      </c>
      <c r="F34" s="18">
        <f t="shared" si="4"/>
        <v>10194.911999999998</v>
      </c>
      <c r="G34" s="43" t="s">
        <v>110</v>
      </c>
      <c r="H34" s="13" t="s">
        <v>74</v>
      </c>
      <c r="I34" s="77"/>
    </row>
    <row r="35" spans="1:9" ht="28.5" customHeight="1">
      <c r="A35" s="39" t="s">
        <v>111</v>
      </c>
      <c r="B35" s="40" t="s">
        <v>112</v>
      </c>
      <c r="C35" s="40"/>
      <c r="D35" s="40"/>
      <c r="E35" s="25"/>
      <c r="F35" s="18"/>
      <c r="G35" s="25"/>
      <c r="H35" s="26"/>
      <c r="I35" s="77"/>
    </row>
    <row r="36" spans="1:9" ht="28.5" customHeight="1">
      <c r="A36" s="39" t="s">
        <v>113</v>
      </c>
      <c r="B36" s="40" t="s">
        <v>114</v>
      </c>
      <c r="C36" s="40"/>
      <c r="D36" s="40"/>
      <c r="E36" s="25"/>
      <c r="F36" s="18"/>
      <c r="G36" s="25"/>
      <c r="H36" s="26"/>
      <c r="I36" s="77"/>
    </row>
    <row r="37" spans="1:9" ht="60.75" customHeight="1">
      <c r="A37" s="39" t="s">
        <v>115</v>
      </c>
      <c r="B37" s="40" t="s">
        <v>116</v>
      </c>
      <c r="C37" s="40" t="s">
        <v>19</v>
      </c>
      <c r="D37" s="40">
        <v>10</v>
      </c>
      <c r="E37" s="25">
        <v>549.26</v>
      </c>
      <c r="F37" s="18">
        <f t="shared" ref="F37:F41" si="5">E37*D37</f>
        <v>5492.6</v>
      </c>
      <c r="G37" s="16" t="s">
        <v>117</v>
      </c>
      <c r="H37" s="16" t="s">
        <v>118</v>
      </c>
      <c r="I37" s="77"/>
    </row>
    <row r="38" spans="1:9" ht="66" customHeight="1">
      <c r="A38" s="39" t="s">
        <v>119</v>
      </c>
      <c r="B38" s="40" t="s">
        <v>114</v>
      </c>
      <c r="C38" s="40" t="s">
        <v>19</v>
      </c>
      <c r="D38" s="40">
        <f>144.2+60.4</f>
        <v>204.6</v>
      </c>
      <c r="E38" s="25">
        <v>335.34</v>
      </c>
      <c r="F38" s="18">
        <f t="shared" si="5"/>
        <v>68610.563999999998</v>
      </c>
      <c r="G38" s="13" t="s">
        <v>120</v>
      </c>
      <c r="H38" s="13" t="s">
        <v>121</v>
      </c>
      <c r="I38" s="77"/>
    </row>
    <row r="39" spans="1:9" ht="17.100000000000001" customHeight="1">
      <c r="A39" s="44" t="s">
        <v>122</v>
      </c>
      <c r="B39" s="45" t="s">
        <v>123</v>
      </c>
      <c r="C39" s="45"/>
      <c r="D39" s="45"/>
      <c r="E39" s="45"/>
      <c r="F39" s="18"/>
      <c r="G39" s="45"/>
      <c r="H39" s="41"/>
      <c r="I39" s="77"/>
    </row>
    <row r="40" spans="1:9" ht="78" customHeight="1">
      <c r="A40" s="44" t="s">
        <v>99</v>
      </c>
      <c r="B40" s="45" t="s">
        <v>124</v>
      </c>
      <c r="C40" s="45" t="s">
        <v>19</v>
      </c>
      <c r="D40" s="45">
        <v>646.75</v>
      </c>
      <c r="E40" s="45">
        <v>372.89</v>
      </c>
      <c r="F40" s="18">
        <f t="shared" si="5"/>
        <v>241166.60749999998</v>
      </c>
      <c r="G40" s="45" t="s">
        <v>125</v>
      </c>
      <c r="H40" s="41" t="s">
        <v>126</v>
      </c>
      <c r="I40" s="77"/>
    </row>
    <row r="41" spans="1:9" ht="81.75" customHeight="1">
      <c r="A41" s="44" t="s">
        <v>77</v>
      </c>
      <c r="B41" s="45" t="s">
        <v>127</v>
      </c>
      <c r="C41" s="45" t="s">
        <v>19</v>
      </c>
      <c r="D41" s="45">
        <f>D40*0.3</f>
        <v>194.02500000000001</v>
      </c>
      <c r="E41" s="45">
        <v>313.76</v>
      </c>
      <c r="F41" s="18">
        <f t="shared" si="5"/>
        <v>60877.284</v>
      </c>
      <c r="G41" s="45" t="s">
        <v>128</v>
      </c>
      <c r="H41" s="41" t="s">
        <v>129</v>
      </c>
      <c r="I41" s="77"/>
    </row>
    <row r="42" spans="1:9" ht="23.25" customHeight="1">
      <c r="A42" s="44" t="s">
        <v>130</v>
      </c>
      <c r="B42" s="45" t="s">
        <v>131</v>
      </c>
      <c r="C42" s="45"/>
      <c r="D42" s="45"/>
      <c r="E42" s="45"/>
      <c r="F42" s="18"/>
      <c r="G42" s="45"/>
      <c r="H42" s="41"/>
      <c r="I42" s="77"/>
    </row>
    <row r="43" spans="1:9" ht="81.75" customHeight="1">
      <c r="A43" s="44" t="s">
        <v>99</v>
      </c>
      <c r="B43" s="45" t="s">
        <v>124</v>
      </c>
      <c r="C43" s="45" t="s">
        <v>19</v>
      </c>
      <c r="D43" s="45">
        <v>272</v>
      </c>
      <c r="E43" s="45">
        <v>333.32</v>
      </c>
      <c r="F43" s="18">
        <f t="shared" ref="F43:F54" si="6">E43*D43</f>
        <v>90663.039999999994</v>
      </c>
      <c r="G43" s="45" t="s">
        <v>132</v>
      </c>
      <c r="H43" s="41" t="s">
        <v>102</v>
      </c>
      <c r="I43" s="77"/>
    </row>
    <row r="44" spans="1:9" ht="36.75" customHeight="1">
      <c r="A44" s="46" t="s">
        <v>133</v>
      </c>
      <c r="B44" s="47" t="s">
        <v>134</v>
      </c>
      <c r="C44" s="48"/>
      <c r="D44" s="49"/>
      <c r="E44" s="10"/>
      <c r="F44" s="18">
        <f t="shared" si="6"/>
        <v>0</v>
      </c>
      <c r="G44" s="10"/>
      <c r="H44" s="11"/>
      <c r="I44" s="75"/>
    </row>
    <row r="45" spans="1:9" ht="20.100000000000001" customHeight="1">
      <c r="A45" s="46" t="s">
        <v>99</v>
      </c>
      <c r="B45" s="50" t="s">
        <v>135</v>
      </c>
      <c r="C45" s="48"/>
      <c r="D45" s="49"/>
      <c r="E45" s="10"/>
      <c r="F45" s="18"/>
      <c r="G45" s="15"/>
      <c r="H45" s="51"/>
      <c r="I45" s="75"/>
    </row>
    <row r="46" spans="1:9" ht="100.5" customHeight="1">
      <c r="A46" s="46" t="s">
        <v>136</v>
      </c>
      <c r="B46" s="50" t="s">
        <v>137</v>
      </c>
      <c r="C46" s="48" t="s">
        <v>19</v>
      </c>
      <c r="D46" s="49">
        <v>1666.9</v>
      </c>
      <c r="E46" s="10">
        <v>9.58</v>
      </c>
      <c r="F46" s="18">
        <f t="shared" si="6"/>
        <v>15968.902000000002</v>
      </c>
      <c r="G46" s="52" t="s">
        <v>248</v>
      </c>
      <c r="H46" s="53" t="s">
        <v>249</v>
      </c>
      <c r="I46" s="78"/>
    </row>
    <row r="47" spans="1:9" ht="69.75" customHeight="1">
      <c r="A47" s="46" t="s">
        <v>140</v>
      </c>
      <c r="B47" s="54" t="s">
        <v>141</v>
      </c>
      <c r="C47" s="48" t="s">
        <v>72</v>
      </c>
      <c r="D47" s="55">
        <v>146</v>
      </c>
      <c r="E47" s="10">
        <v>99.61</v>
      </c>
      <c r="F47" s="18">
        <f t="shared" si="6"/>
        <v>14543.06</v>
      </c>
      <c r="G47" s="56" t="s">
        <v>142</v>
      </c>
      <c r="H47" s="57" t="s">
        <v>143</v>
      </c>
      <c r="I47" s="78"/>
    </row>
    <row r="48" spans="1:9" ht="62.25" customHeight="1">
      <c r="A48" s="46" t="s">
        <v>144</v>
      </c>
      <c r="B48" s="50" t="s">
        <v>145</v>
      </c>
      <c r="C48" s="48" t="s">
        <v>19</v>
      </c>
      <c r="D48" s="49"/>
      <c r="E48" s="10">
        <v>11.44</v>
      </c>
      <c r="F48" s="18">
        <f t="shared" si="6"/>
        <v>0</v>
      </c>
      <c r="G48" s="58" t="s">
        <v>250</v>
      </c>
      <c r="H48" s="59" t="s">
        <v>146</v>
      </c>
      <c r="I48" s="78"/>
    </row>
    <row r="49" spans="1:9" ht="61.5" customHeight="1">
      <c r="A49" s="46" t="s">
        <v>147</v>
      </c>
      <c r="B49" s="50" t="s">
        <v>148</v>
      </c>
      <c r="C49" s="48" t="s">
        <v>19</v>
      </c>
      <c r="D49" s="55">
        <v>649.5</v>
      </c>
      <c r="E49" s="10">
        <v>128.94</v>
      </c>
      <c r="F49" s="18">
        <f t="shared" si="6"/>
        <v>83746.53</v>
      </c>
      <c r="G49" s="58" t="s">
        <v>251</v>
      </c>
      <c r="H49" s="59" t="s">
        <v>150</v>
      </c>
      <c r="I49" s="78"/>
    </row>
    <row r="50" spans="1:9" ht="57.75" customHeight="1">
      <c r="A50" s="46" t="s">
        <v>151</v>
      </c>
      <c r="B50" s="54" t="s">
        <v>152</v>
      </c>
      <c r="C50" s="48" t="s">
        <v>19</v>
      </c>
      <c r="D50" s="55">
        <v>287.39999999999998</v>
      </c>
      <c r="E50" s="10">
        <v>142.51</v>
      </c>
      <c r="F50" s="18">
        <f t="shared" si="6"/>
        <v>40957.373999999996</v>
      </c>
      <c r="G50" s="60" t="s">
        <v>153</v>
      </c>
      <c r="H50" s="61" t="s">
        <v>154</v>
      </c>
      <c r="I50" s="78"/>
    </row>
    <row r="51" spans="1:9" ht="68.25" customHeight="1">
      <c r="A51" s="46" t="s">
        <v>155</v>
      </c>
      <c r="B51" s="54" t="s">
        <v>156</v>
      </c>
      <c r="C51" s="48" t="s">
        <v>19</v>
      </c>
      <c r="D51" s="55">
        <f>323.7-D50-D54</f>
        <v>30.900000000000013</v>
      </c>
      <c r="E51" s="10">
        <v>354.69</v>
      </c>
      <c r="F51" s="18">
        <f t="shared" si="6"/>
        <v>10959.921000000004</v>
      </c>
      <c r="G51" s="62" t="s">
        <v>157</v>
      </c>
      <c r="H51" s="63" t="s">
        <v>158</v>
      </c>
      <c r="I51" s="78"/>
    </row>
    <row r="52" spans="1:9" ht="67.5" customHeight="1">
      <c r="A52" s="46" t="s">
        <v>159</v>
      </c>
      <c r="B52" s="54" t="s">
        <v>160</v>
      </c>
      <c r="C52" s="48" t="s">
        <v>19</v>
      </c>
      <c r="D52" s="55">
        <v>183.3</v>
      </c>
      <c r="E52" s="10">
        <v>223.01</v>
      </c>
      <c r="F52" s="18">
        <f t="shared" si="6"/>
        <v>40877.733</v>
      </c>
      <c r="G52" s="16" t="s">
        <v>161</v>
      </c>
      <c r="H52" s="16" t="s">
        <v>162</v>
      </c>
      <c r="I52" s="78"/>
    </row>
    <row r="53" spans="1:9" ht="99" customHeight="1">
      <c r="A53" s="46" t="s">
        <v>163</v>
      </c>
      <c r="B53" s="50" t="s">
        <v>164</v>
      </c>
      <c r="C53" s="48" t="s">
        <v>165</v>
      </c>
      <c r="D53" s="49">
        <v>16531</v>
      </c>
      <c r="E53" s="10">
        <v>0.86</v>
      </c>
      <c r="F53" s="18">
        <f t="shared" si="6"/>
        <v>14216.66</v>
      </c>
      <c r="G53" s="52" t="s">
        <v>166</v>
      </c>
      <c r="H53" s="64" t="s">
        <v>167</v>
      </c>
      <c r="I53" s="78"/>
    </row>
    <row r="54" spans="1:9" ht="59.25" customHeight="1">
      <c r="A54" s="46" t="s">
        <v>168</v>
      </c>
      <c r="B54" s="54" t="s">
        <v>169</v>
      </c>
      <c r="C54" s="48" t="s">
        <v>19</v>
      </c>
      <c r="D54" s="49">
        <f>9*0.6</f>
        <v>5.3999999999999995</v>
      </c>
      <c r="E54" s="10">
        <v>354.69</v>
      </c>
      <c r="F54" s="18">
        <f t="shared" si="6"/>
        <v>1915.3259999999998</v>
      </c>
      <c r="G54" s="65" t="s">
        <v>170</v>
      </c>
      <c r="H54" s="66" t="s">
        <v>154</v>
      </c>
      <c r="I54" s="78"/>
    </row>
    <row r="55" spans="1:9" ht="24">
      <c r="A55" s="46" t="s">
        <v>171</v>
      </c>
      <c r="B55" s="67" t="s">
        <v>172</v>
      </c>
      <c r="C55" s="48"/>
      <c r="D55" s="49"/>
      <c r="E55" s="10"/>
      <c r="F55" s="18"/>
      <c r="G55" s="10"/>
      <c r="H55" s="51"/>
      <c r="I55" s="75"/>
    </row>
    <row r="56" spans="1:9" ht="97.5" customHeight="1">
      <c r="A56" s="68" t="s">
        <v>136</v>
      </c>
      <c r="B56" s="69" t="s">
        <v>173</v>
      </c>
      <c r="C56" s="70" t="s">
        <v>19</v>
      </c>
      <c r="D56" s="71">
        <v>289.10000000000002</v>
      </c>
      <c r="E56" s="45">
        <v>9.58</v>
      </c>
      <c r="F56" s="18">
        <f t="shared" ref="F56:F62" si="7">E56*D56</f>
        <v>2769.5780000000004</v>
      </c>
      <c r="G56" s="52" t="s">
        <v>248</v>
      </c>
      <c r="H56" s="53" t="s">
        <v>249</v>
      </c>
      <c r="I56" s="75"/>
    </row>
    <row r="57" spans="1:9" ht="63" customHeight="1">
      <c r="A57" s="72" t="s">
        <v>140</v>
      </c>
      <c r="B57" s="50" t="s">
        <v>148</v>
      </c>
      <c r="C57" s="48" t="s">
        <v>19</v>
      </c>
      <c r="D57" s="55">
        <v>95.2</v>
      </c>
      <c r="E57" s="10">
        <v>128.94</v>
      </c>
      <c r="F57" s="18">
        <f t="shared" si="7"/>
        <v>12275.088</v>
      </c>
      <c r="G57" s="73" t="s">
        <v>252</v>
      </c>
      <c r="H57" s="59" t="s">
        <v>146</v>
      </c>
      <c r="I57" s="78"/>
    </row>
    <row r="58" spans="1:9" ht="64.5" customHeight="1">
      <c r="A58" s="46" t="s">
        <v>144</v>
      </c>
      <c r="B58" s="54" t="s">
        <v>175</v>
      </c>
      <c r="C58" s="48" t="s">
        <v>19</v>
      </c>
      <c r="D58" s="55">
        <v>19.899999999999999</v>
      </c>
      <c r="E58" s="10">
        <v>156.76</v>
      </c>
      <c r="F58" s="18">
        <f t="shared" si="7"/>
        <v>3119.5239999999994</v>
      </c>
      <c r="G58" s="60" t="s">
        <v>153</v>
      </c>
      <c r="H58" s="61" t="s">
        <v>154</v>
      </c>
      <c r="I58" s="75"/>
    </row>
    <row r="59" spans="1:9" ht="69" customHeight="1">
      <c r="A59" s="46" t="s">
        <v>147</v>
      </c>
      <c r="B59" s="54" t="s">
        <v>176</v>
      </c>
      <c r="C59" s="48" t="s">
        <v>19</v>
      </c>
      <c r="D59" s="55">
        <v>63.6</v>
      </c>
      <c r="E59" s="10">
        <v>390.16</v>
      </c>
      <c r="F59" s="18">
        <f t="shared" si="7"/>
        <v>24814.176000000003</v>
      </c>
      <c r="G59" s="62" t="s">
        <v>157</v>
      </c>
      <c r="H59" s="63" t="s">
        <v>158</v>
      </c>
      <c r="I59" s="75"/>
    </row>
    <row r="60" spans="1:9" ht="63.75" customHeight="1">
      <c r="A60" s="46" t="s">
        <v>151</v>
      </c>
      <c r="B60" s="54" t="s">
        <v>169</v>
      </c>
      <c r="C60" s="48" t="s">
        <v>19</v>
      </c>
      <c r="D60" s="49">
        <v>1</v>
      </c>
      <c r="E60" s="10">
        <v>354.69</v>
      </c>
      <c r="F60" s="18">
        <f t="shared" si="7"/>
        <v>354.69</v>
      </c>
      <c r="G60" s="65" t="s">
        <v>170</v>
      </c>
      <c r="H60" s="66" t="s">
        <v>154</v>
      </c>
      <c r="I60" s="75"/>
    </row>
    <row r="61" spans="1:9" ht="69.75" customHeight="1">
      <c r="A61" s="46" t="s">
        <v>155</v>
      </c>
      <c r="B61" s="54" t="s">
        <v>160</v>
      </c>
      <c r="C61" s="48" t="s">
        <v>19</v>
      </c>
      <c r="D61" s="55">
        <v>183.3</v>
      </c>
      <c r="E61" s="10">
        <v>223.01</v>
      </c>
      <c r="F61" s="18">
        <f t="shared" si="7"/>
        <v>40877.733</v>
      </c>
      <c r="G61" s="16" t="s">
        <v>161</v>
      </c>
      <c r="H61" s="16" t="s">
        <v>162</v>
      </c>
      <c r="I61" s="75"/>
    </row>
    <row r="62" spans="1:9" ht="102" customHeight="1">
      <c r="A62" s="46" t="s">
        <v>159</v>
      </c>
      <c r="B62" s="50" t="s">
        <v>164</v>
      </c>
      <c r="C62" s="48" t="s">
        <v>165</v>
      </c>
      <c r="D62" s="49">
        <v>16531</v>
      </c>
      <c r="E62" s="10">
        <v>0.86</v>
      </c>
      <c r="F62" s="18">
        <f t="shared" si="7"/>
        <v>14216.66</v>
      </c>
      <c r="G62" s="52" t="s">
        <v>166</v>
      </c>
      <c r="H62" s="64" t="s">
        <v>167</v>
      </c>
      <c r="I62" s="75"/>
    </row>
    <row r="63" spans="1:9" ht="20.100000000000001" customHeight="1">
      <c r="A63" s="46" t="s">
        <v>177</v>
      </c>
      <c r="B63" s="47" t="s">
        <v>178</v>
      </c>
      <c r="C63" s="48"/>
      <c r="D63" s="49"/>
      <c r="E63" s="10"/>
      <c r="F63" s="18"/>
      <c r="G63" s="52"/>
      <c r="H63" s="64"/>
      <c r="I63" s="75"/>
    </row>
    <row r="64" spans="1:9" ht="20.100000000000001" customHeight="1">
      <c r="A64" s="46" t="s">
        <v>99</v>
      </c>
      <c r="B64" s="50" t="s">
        <v>179</v>
      </c>
      <c r="C64" s="48"/>
      <c r="D64" s="49"/>
      <c r="E64" s="10"/>
      <c r="F64" s="18"/>
      <c r="G64" s="15"/>
      <c r="H64" s="51"/>
      <c r="I64" s="75"/>
    </row>
    <row r="65" spans="1:9" ht="90" customHeight="1">
      <c r="A65" s="46" t="s">
        <v>136</v>
      </c>
      <c r="B65" s="50" t="s">
        <v>137</v>
      </c>
      <c r="C65" s="48" t="s">
        <v>19</v>
      </c>
      <c r="D65" s="49">
        <f>1*1.3*270+0.5*0.5*3.14*3</f>
        <v>353.35500000000002</v>
      </c>
      <c r="E65" s="10">
        <v>16.86</v>
      </c>
      <c r="F65" s="18">
        <f t="shared" ref="F65:F69" si="8">E65*D65</f>
        <v>5957.5653000000002</v>
      </c>
      <c r="G65" s="52" t="s">
        <v>253</v>
      </c>
      <c r="H65" s="53" t="s">
        <v>261</v>
      </c>
      <c r="I65" s="78"/>
    </row>
    <row r="66" spans="1:9" ht="66" customHeight="1">
      <c r="A66" s="46" t="s">
        <v>155</v>
      </c>
      <c r="B66" s="54" t="s">
        <v>262</v>
      </c>
      <c r="C66" s="48" t="s">
        <v>72</v>
      </c>
      <c r="D66" s="55">
        <f>60+125</f>
        <v>185</v>
      </c>
      <c r="E66" s="10">
        <v>22</v>
      </c>
      <c r="F66" s="18">
        <f t="shared" si="8"/>
        <v>4070</v>
      </c>
      <c r="G66" s="56" t="s">
        <v>185</v>
      </c>
      <c r="H66" s="57" t="s">
        <v>186</v>
      </c>
      <c r="I66" s="78"/>
    </row>
    <row r="67" spans="1:9" ht="68.099999999999994" customHeight="1">
      <c r="A67" s="46" t="s">
        <v>159</v>
      </c>
      <c r="B67" s="54" t="s">
        <v>263</v>
      </c>
      <c r="C67" s="48" t="s">
        <v>72</v>
      </c>
      <c r="D67" s="55">
        <v>85</v>
      </c>
      <c r="E67" s="10">
        <v>32</v>
      </c>
      <c r="F67" s="18">
        <f t="shared" si="8"/>
        <v>2720</v>
      </c>
      <c r="G67" s="56" t="s">
        <v>185</v>
      </c>
      <c r="H67" s="57" t="s">
        <v>186</v>
      </c>
      <c r="I67" s="78"/>
    </row>
    <row r="68" spans="1:9" ht="68.099999999999994" customHeight="1">
      <c r="A68" s="46" t="s">
        <v>163</v>
      </c>
      <c r="B68" s="50" t="s">
        <v>190</v>
      </c>
      <c r="C68" s="48" t="s">
        <v>19</v>
      </c>
      <c r="D68" s="55">
        <v>275</v>
      </c>
      <c r="E68" s="10">
        <v>100</v>
      </c>
      <c r="F68" s="18">
        <f t="shared" si="8"/>
        <v>27500</v>
      </c>
      <c r="G68" s="73" t="s">
        <v>258</v>
      </c>
      <c r="H68" s="59" t="s">
        <v>192</v>
      </c>
      <c r="I68" s="78"/>
    </row>
    <row r="69" spans="1:9" ht="62.25" customHeight="1">
      <c r="A69" s="46" t="s">
        <v>168</v>
      </c>
      <c r="B69" s="54" t="s">
        <v>175</v>
      </c>
      <c r="C69" s="48" t="s">
        <v>19</v>
      </c>
      <c r="D69" s="55">
        <v>0</v>
      </c>
      <c r="E69" s="10">
        <v>142.51</v>
      </c>
      <c r="F69" s="18">
        <f t="shared" si="8"/>
        <v>0</v>
      </c>
      <c r="G69" s="60" t="s">
        <v>153</v>
      </c>
      <c r="H69" s="61" t="s">
        <v>154</v>
      </c>
      <c r="I69" s="75"/>
    </row>
    <row r="70" spans="1:9" ht="30" customHeight="1">
      <c r="A70" s="79" t="s">
        <v>77</v>
      </c>
      <c r="B70" s="50" t="s">
        <v>193</v>
      </c>
      <c r="C70" s="80" t="s">
        <v>194</v>
      </c>
      <c r="D70" s="55">
        <v>6</v>
      </c>
      <c r="E70" s="10"/>
      <c r="F70" s="18"/>
      <c r="G70" s="56"/>
      <c r="H70" s="57"/>
      <c r="I70" s="78"/>
    </row>
    <row r="71" spans="1:9" ht="62.25" customHeight="1">
      <c r="A71" s="79" t="s">
        <v>195</v>
      </c>
      <c r="B71" s="50" t="s">
        <v>196</v>
      </c>
      <c r="C71" s="48" t="s">
        <v>19</v>
      </c>
      <c r="D71" s="55">
        <f>0.67*6</f>
        <v>4.0200000000000005</v>
      </c>
      <c r="E71" s="10">
        <v>213.77</v>
      </c>
      <c r="F71" s="18">
        <f t="shared" ref="F71:F74" si="9">E71*D71</f>
        <v>859.35540000000015</v>
      </c>
      <c r="G71" s="60" t="s">
        <v>153</v>
      </c>
      <c r="H71" s="61" t="s">
        <v>154</v>
      </c>
      <c r="I71" s="78"/>
    </row>
    <row r="72" spans="1:9" ht="71.25" customHeight="1">
      <c r="A72" s="79" t="s">
        <v>197</v>
      </c>
      <c r="B72" s="54" t="s">
        <v>198</v>
      </c>
      <c r="C72" s="48" t="s">
        <v>19</v>
      </c>
      <c r="D72" s="55">
        <f>1.49*6</f>
        <v>8.94</v>
      </c>
      <c r="E72" s="10">
        <v>354.69</v>
      </c>
      <c r="F72" s="18">
        <f t="shared" si="9"/>
        <v>3170.9285999999997</v>
      </c>
      <c r="G72" s="62" t="s">
        <v>199</v>
      </c>
      <c r="H72" s="63" t="s">
        <v>158</v>
      </c>
      <c r="I72" s="78"/>
    </row>
    <row r="73" spans="1:9" ht="84" customHeight="1">
      <c r="A73" s="79" t="s">
        <v>200</v>
      </c>
      <c r="B73" s="50" t="s">
        <v>201</v>
      </c>
      <c r="C73" s="80" t="s">
        <v>202</v>
      </c>
      <c r="D73" s="55">
        <v>6</v>
      </c>
      <c r="E73" s="10">
        <v>299.75</v>
      </c>
      <c r="F73" s="18">
        <f t="shared" si="9"/>
        <v>1798.5</v>
      </c>
      <c r="G73" s="81" t="s">
        <v>203</v>
      </c>
      <c r="H73" s="57" t="s">
        <v>204</v>
      </c>
      <c r="I73" s="78"/>
    </row>
    <row r="74" spans="1:9" ht="99.95" customHeight="1">
      <c r="A74" s="79" t="s">
        <v>205</v>
      </c>
      <c r="B74" s="50" t="s">
        <v>206</v>
      </c>
      <c r="C74" s="80" t="s">
        <v>165</v>
      </c>
      <c r="D74" s="55">
        <f>6*223.55</f>
        <v>1341.3000000000002</v>
      </c>
      <c r="E74" s="10">
        <v>0.86</v>
      </c>
      <c r="F74" s="18">
        <f t="shared" si="9"/>
        <v>1153.518</v>
      </c>
      <c r="G74" s="52" t="s">
        <v>166</v>
      </c>
      <c r="H74" s="64" t="s">
        <v>167</v>
      </c>
      <c r="I74" s="78"/>
    </row>
    <row r="75" spans="1:9" ht="30" customHeight="1">
      <c r="A75" s="46" t="s">
        <v>222</v>
      </c>
      <c r="B75" s="50" t="s">
        <v>223</v>
      </c>
      <c r="C75" s="80" t="s">
        <v>224</v>
      </c>
      <c r="D75" s="55">
        <f>49+36-39</f>
        <v>46</v>
      </c>
      <c r="E75" s="10"/>
      <c r="F75" s="18"/>
      <c r="G75" s="56"/>
      <c r="H75" s="57"/>
      <c r="I75" s="78"/>
    </row>
    <row r="76" spans="1:9" ht="75.95" customHeight="1">
      <c r="A76" s="46" t="s">
        <v>225</v>
      </c>
      <c r="B76" s="50" t="s">
        <v>264</v>
      </c>
      <c r="C76" s="80" t="s">
        <v>224</v>
      </c>
      <c r="D76" s="55">
        <v>9</v>
      </c>
      <c r="E76" s="10">
        <v>713.44</v>
      </c>
      <c r="F76" s="18">
        <f>E76*D76</f>
        <v>6420.9600000000009</v>
      </c>
      <c r="G76" s="82" t="s">
        <v>265</v>
      </c>
      <c r="H76" s="41" t="s">
        <v>266</v>
      </c>
      <c r="I76" s="78"/>
    </row>
    <row r="77" spans="1:9" ht="35.1" customHeight="1">
      <c r="A77" s="83"/>
      <c r="B77" s="49"/>
      <c r="C77" s="49"/>
      <c r="D77" s="49"/>
      <c r="E77" s="10"/>
      <c r="F77" s="84">
        <f>SUM(F3:F76)</f>
        <v>4457444.8718000008</v>
      </c>
      <c r="G77" s="10"/>
      <c r="H77" s="11"/>
      <c r="I77" s="75"/>
    </row>
    <row r="78" spans="1:9" s="2" customFormat="1" ht="39" customHeight="1">
      <c r="A78" s="144" t="s">
        <v>231</v>
      </c>
      <c r="B78" s="145"/>
      <c r="C78" s="145"/>
      <c r="D78" s="145"/>
      <c r="E78" s="145"/>
      <c r="F78" s="145"/>
      <c r="G78" s="145"/>
      <c r="H78" s="145"/>
      <c r="I78" s="146"/>
    </row>
    <row r="79" spans="1:9" s="2" customFormat="1" ht="20.25" customHeight="1">
      <c r="A79" s="147"/>
      <c r="B79" s="148"/>
      <c r="C79" s="148"/>
      <c r="D79" s="148"/>
      <c r="E79" s="148"/>
      <c r="F79" s="148"/>
      <c r="G79" s="148"/>
      <c r="H79" s="148"/>
      <c r="I79" s="149"/>
    </row>
    <row r="80" spans="1:9" s="2" customFormat="1" ht="15" customHeight="1">
      <c r="A80" s="152" t="s">
        <v>232</v>
      </c>
      <c r="B80" s="153"/>
      <c r="C80" s="153"/>
      <c r="D80" s="153"/>
      <c r="E80" s="153"/>
      <c r="F80" s="153"/>
      <c r="G80" s="153"/>
      <c r="H80" s="153"/>
      <c r="I80" s="154"/>
    </row>
    <row r="81" spans="1:9" s="2" customFormat="1" ht="15" customHeight="1">
      <c r="A81" s="155" t="s">
        <v>233</v>
      </c>
      <c r="B81" s="156"/>
      <c r="C81" s="156"/>
      <c r="D81" s="156"/>
      <c r="E81" s="156"/>
      <c r="F81" s="156"/>
      <c r="G81" s="156"/>
      <c r="H81" s="156"/>
      <c r="I81" s="157"/>
    </row>
    <row r="82" spans="1:9" s="2" customFormat="1" ht="15" customHeight="1">
      <c r="A82" s="155" t="s">
        <v>234</v>
      </c>
      <c r="B82" s="156"/>
      <c r="C82" s="156"/>
      <c r="D82" s="156"/>
      <c r="E82" s="156"/>
      <c r="F82" s="156"/>
      <c r="G82" s="156"/>
      <c r="H82" s="156"/>
      <c r="I82" s="157"/>
    </row>
    <row r="83" spans="1:9" s="2" customFormat="1" ht="15" customHeight="1">
      <c r="A83" s="155" t="s">
        <v>235</v>
      </c>
      <c r="B83" s="156"/>
      <c r="C83" s="156"/>
      <c r="D83" s="156"/>
      <c r="E83" s="156"/>
      <c r="F83" s="156"/>
      <c r="G83" s="156"/>
      <c r="H83" s="156"/>
      <c r="I83" s="157"/>
    </row>
    <row r="84" spans="1:9" s="2" customFormat="1" ht="15" customHeight="1">
      <c r="A84" s="141" t="s">
        <v>236</v>
      </c>
      <c r="B84" s="142"/>
      <c r="C84" s="142"/>
      <c r="D84" s="142"/>
      <c r="E84" s="142"/>
      <c r="F84" s="142"/>
      <c r="G84" s="142"/>
      <c r="H84" s="142"/>
      <c r="I84" s="143"/>
    </row>
  </sheetData>
  <sheetProtection password="C61B" sheet="1" objects="1" scenarios="1"/>
  <mergeCells count="7">
    <mergeCell ref="A84:I84"/>
    <mergeCell ref="A78:I79"/>
    <mergeCell ref="A1:I1"/>
    <mergeCell ref="A80:I80"/>
    <mergeCell ref="A81:I81"/>
    <mergeCell ref="A82:I82"/>
    <mergeCell ref="A83:I83"/>
  </mergeCells>
  <phoneticPr fontId="38" type="noConversion"/>
  <pageMargins left="0.70866141732283472" right="0.70866141732283472" top="0.74803149606299213" bottom="0.74803149606299213" header="0.31496062992125984" footer="0.31496062992125984"/>
  <pageSetup paperSize="9" scale="85" orientation="landscape" r:id="rId1"/>
  <headerFooter>
    <oddFooter>&amp;L投标法定代表人或授权委托人（签字盖章）：&amp;C
                           &amp;R第&amp;P页，共&amp;N页。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3</vt:i4>
      </vt:variant>
      <vt:variant>
        <vt:lpstr>命名范围</vt:lpstr>
      </vt:variant>
      <vt:variant>
        <vt:i4>6</vt:i4>
      </vt:variant>
    </vt:vector>
  </HeadingPairs>
  <TitlesOfParts>
    <vt:vector size="9" baseType="lpstr">
      <vt:lpstr>LJFB-1</vt:lpstr>
      <vt:lpstr>LJFB-2</vt:lpstr>
      <vt:lpstr>LJFB-3</vt:lpstr>
      <vt:lpstr>'LJFB-1'!Print_Area</vt:lpstr>
      <vt:lpstr>'LJFB-2'!Print_Area</vt:lpstr>
      <vt:lpstr>'LJFB-3'!Print_Area</vt:lpstr>
      <vt:lpstr>'LJFB-1'!Print_Titles</vt:lpstr>
      <vt:lpstr>'LJFB-2'!Print_Titles</vt:lpstr>
      <vt:lpstr>'LJFB-3'!Print_Titles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FH5900</dc:creator>
  <cp:lastModifiedBy>Administrator</cp:lastModifiedBy>
  <cp:lastPrinted>2020-06-12T07:16:23Z</cp:lastPrinted>
  <dcterms:created xsi:type="dcterms:W3CDTF">2020-02-19T11:30:00Z</dcterms:created>
  <dcterms:modified xsi:type="dcterms:W3CDTF">2020-06-12T07:17:25Z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2052-11.1.0.9740</vt:lpwstr>
  </property>
  <property fmtid="{D5CDD505-2E9C-101B-9397-08002B2CF9AE}" pid="3" name="KSOReadingLayout">
    <vt:bool>true</vt:bool>
  </property>
</Properties>
</file>